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5\"/>
    </mc:Choice>
  </mc:AlternateContent>
  <xr:revisionPtr revIDLastSave="0" documentId="13_ncr:1_{7064F323-FC22-4E8B-8CAB-3692E8C4468E}" xr6:coauthVersionLast="47" xr6:coauthVersionMax="47" xr10:uidLastSave="{00000000-0000-0000-0000-000000000000}"/>
  <workbookProtection workbookAlgorithmName="SHA-512" workbookHashValue="oPq+8GW7r2qPIIXK5ZaJAAzk9/3umOQOsZRxcy+je6+cQ/FS+P7oR4YnzFXJ3ff7o0YOVPcXWxsTuWRzdeWc0g==" workbookSaltValue="r/fx+8NYPhrzQI4vN+dsFg==" workbookSpinCount="100000" lockStructure="1"/>
  <bookViews>
    <workbookView xWindow="-109" yWindow="-109" windowWidth="26301" windowHeight="14169" xr2:uid="{5F939F0E-B7C8-4EE0-A5CF-22394BFDF32C}"/>
  </bookViews>
  <sheets>
    <sheet name="ZU 2025 po 1.ZR a RORM 1 - 53" sheetId="1" r:id="rId1"/>
  </sheets>
  <definedNames>
    <definedName name="__DdeLink__9289_5144441" localSheetId="0">'ZU 2025 po 1.ZR a RORM 1 - 53'!#REF!</definedName>
    <definedName name="_xlnm.Print_Titles" localSheetId="0">'ZU 2025 po 1.ZR a RORM 1 - 53'!$1:$2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0" i="1" l="1"/>
  <c r="F358" i="1" s="1"/>
  <c r="F343" i="1"/>
  <c r="F345" i="1"/>
  <c r="F310" i="1"/>
  <c r="F302" i="1"/>
  <c r="F300" i="1" s="1"/>
  <c r="F294" i="1"/>
  <c r="F287" i="1"/>
  <c r="F285" i="1" s="1"/>
  <c r="F274" i="1"/>
  <c r="F248" i="1"/>
  <c r="F246" i="1" s="1"/>
  <c r="F234" i="1"/>
  <c r="G234" i="1"/>
  <c r="F245" i="1"/>
  <c r="F200" i="1"/>
  <c r="F192" i="1" s="1"/>
  <c r="F182" i="1"/>
  <c r="F63" i="1"/>
  <c r="F179" i="1"/>
  <c r="F134" i="1"/>
  <c r="G134" i="1" s="1"/>
  <c r="F114" i="1"/>
  <c r="G114" i="1" s="1"/>
  <c r="F70" i="1"/>
  <c r="G70" i="1" s="1"/>
  <c r="F69" i="1"/>
  <c r="G69" i="1" s="1"/>
  <c r="F78" i="1"/>
  <c r="G78" i="1" s="1"/>
  <c r="F107" i="1"/>
  <c r="G107" i="1" s="1"/>
  <c r="F106" i="1"/>
  <c r="G106" i="1" s="1"/>
  <c r="F77" i="1"/>
  <c r="G77" i="1" s="1"/>
  <c r="F74" i="1"/>
  <c r="G74" i="1" s="1"/>
  <c r="F73" i="1"/>
  <c r="G73" i="1" s="1"/>
  <c r="F121" i="1"/>
  <c r="G121" i="1" s="1"/>
  <c r="F109" i="1"/>
  <c r="G109" i="1" s="1"/>
  <c r="F113" i="1"/>
  <c r="G113" i="1" s="1"/>
  <c r="F54" i="1"/>
  <c r="F52" i="1" s="1"/>
  <c r="F43" i="1"/>
  <c r="G43" i="1" s="1"/>
  <c r="F34" i="1"/>
  <c r="G34" i="1" s="1"/>
  <c r="F28" i="1"/>
  <c r="G28" i="1" s="1"/>
  <c r="F38" i="1"/>
  <c r="F8" i="1"/>
  <c r="F6" i="1"/>
  <c r="F376" i="1"/>
  <c r="F361" i="1"/>
  <c r="G363" i="1"/>
  <c r="F354" i="1"/>
  <c r="G354" i="1" s="1"/>
  <c r="F351" i="1"/>
  <c r="G351" i="1" s="1"/>
  <c r="F355" i="1"/>
  <c r="F336" i="1"/>
  <c r="F328" i="1"/>
  <c r="F326" i="1"/>
  <c r="F324" i="1" s="1"/>
  <c r="F308" i="1"/>
  <c r="F304" i="1"/>
  <c r="F293" i="1"/>
  <c r="G293" i="1" s="1"/>
  <c r="F292" i="1"/>
  <c r="F282" i="1"/>
  <c r="F44" i="1"/>
  <c r="F275" i="1"/>
  <c r="F273" i="1"/>
  <c r="G273" i="1" s="1"/>
  <c r="F267" i="1"/>
  <c r="F249" i="1"/>
  <c r="F231" i="1"/>
  <c r="F240" i="1"/>
  <c r="G240" i="1" s="1"/>
  <c r="F233" i="1"/>
  <c r="G233" i="1" s="1"/>
  <c r="F241" i="1"/>
  <c r="G241" i="1" s="1"/>
  <c r="F191" i="1"/>
  <c r="F128" i="1"/>
  <c r="G128" i="1" s="1"/>
  <c r="F89" i="1"/>
  <c r="G89" i="1" s="1"/>
  <c r="F88" i="1"/>
  <c r="F85" i="1"/>
  <c r="G85" i="1" s="1"/>
  <c r="F84" i="1"/>
  <c r="G84" i="1" s="1"/>
  <c r="F112" i="1"/>
  <c r="G112" i="1" s="1"/>
  <c r="F111" i="1"/>
  <c r="G111" i="1" s="1"/>
  <c r="F97" i="1"/>
  <c r="G97" i="1" s="1"/>
  <c r="F96" i="1"/>
  <c r="G96" i="1" s="1"/>
  <c r="F93" i="1"/>
  <c r="G93" i="1" s="1"/>
  <c r="F92" i="1"/>
  <c r="G92" i="1" s="1"/>
  <c r="F81" i="1"/>
  <c r="G81" i="1" s="1"/>
  <c r="F80" i="1"/>
  <c r="G80" i="1" s="1"/>
  <c r="F118" i="1"/>
  <c r="G118" i="1" s="1"/>
  <c r="F82" i="1"/>
  <c r="G82" i="1" s="1"/>
  <c r="F104" i="1"/>
  <c r="G104" i="1" s="1"/>
  <c r="F100" i="1"/>
  <c r="G100" i="1" s="1"/>
  <c r="F86" i="1"/>
  <c r="G86" i="1" s="1"/>
  <c r="F71" i="1"/>
  <c r="G71" i="1" s="1"/>
  <c r="F98" i="1"/>
  <c r="G98" i="1" s="1"/>
  <c r="F56" i="1"/>
  <c r="F41" i="1"/>
  <c r="G41" i="1" s="1"/>
  <c r="F32" i="1"/>
  <c r="G32" i="1" s="1"/>
  <c r="F30" i="1"/>
  <c r="G30" i="1" s="1"/>
  <c r="F20" i="1"/>
  <c r="G372" i="1"/>
  <c r="G364" i="1"/>
  <c r="G370" i="1"/>
  <c r="G17" i="1"/>
  <c r="E9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9" i="1"/>
  <c r="G270" i="1"/>
  <c r="G277" i="1"/>
  <c r="G278" i="1"/>
  <c r="G284" i="1"/>
  <c r="G287" i="1"/>
  <c r="G288" i="1"/>
  <c r="G289" i="1"/>
  <c r="G295" i="1"/>
  <c r="G296" i="1"/>
  <c r="G297" i="1"/>
  <c r="G298" i="1"/>
  <c r="G299" i="1"/>
  <c r="G306" i="1"/>
  <c r="G307" i="1"/>
  <c r="G311" i="1"/>
  <c r="G312" i="1"/>
  <c r="G313" i="1"/>
  <c r="G314" i="1"/>
  <c r="G317" i="1"/>
  <c r="G318" i="1"/>
  <c r="G321" i="1"/>
  <c r="G322" i="1"/>
  <c r="G323" i="1"/>
  <c r="G327" i="1"/>
  <c r="G331" i="1"/>
  <c r="G332" i="1"/>
  <c r="G333" i="1"/>
  <c r="G334" i="1"/>
  <c r="G335" i="1"/>
  <c r="G338" i="1"/>
  <c r="G339" i="1"/>
  <c r="G340" i="1"/>
  <c r="G344" i="1"/>
  <c r="G346" i="1"/>
  <c r="G347" i="1"/>
  <c r="G350" i="1"/>
  <c r="G352" i="1"/>
  <c r="G353" i="1"/>
  <c r="G357" i="1"/>
  <c r="G362" i="1"/>
  <c r="G369" i="1"/>
  <c r="G371" i="1"/>
  <c r="G373" i="1"/>
  <c r="G374" i="1"/>
  <c r="G375" i="1"/>
  <c r="G380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2" i="1"/>
  <c r="G235" i="1"/>
  <c r="G236" i="1"/>
  <c r="G237" i="1"/>
  <c r="G238" i="1"/>
  <c r="G239" i="1"/>
  <c r="G243" i="1"/>
  <c r="G244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183" i="1"/>
  <c r="G184" i="1"/>
  <c r="G185" i="1"/>
  <c r="G186" i="1"/>
  <c r="G187" i="1"/>
  <c r="G188" i="1"/>
  <c r="G189" i="1"/>
  <c r="G190" i="1"/>
  <c r="G194" i="1"/>
  <c r="G195" i="1"/>
  <c r="G196" i="1"/>
  <c r="G197" i="1"/>
  <c r="G198" i="1"/>
  <c r="G199" i="1"/>
  <c r="G203" i="1"/>
  <c r="G135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71" i="1"/>
  <c r="G172" i="1"/>
  <c r="G175" i="1"/>
  <c r="G176" i="1"/>
  <c r="G178" i="1"/>
  <c r="G99" i="1"/>
  <c r="G101" i="1"/>
  <c r="G102" i="1"/>
  <c r="G103" i="1"/>
  <c r="G105" i="1"/>
  <c r="G108" i="1"/>
  <c r="G110" i="1"/>
  <c r="G115" i="1"/>
  <c r="G119" i="1"/>
  <c r="G120" i="1"/>
  <c r="G122" i="1"/>
  <c r="G123" i="1"/>
  <c r="G124" i="1"/>
  <c r="G127" i="1"/>
  <c r="G129" i="1"/>
  <c r="G130" i="1"/>
  <c r="G131" i="1"/>
  <c r="G132" i="1"/>
  <c r="G133" i="1"/>
  <c r="G58" i="1"/>
  <c r="G59" i="1"/>
  <c r="G60" i="1"/>
  <c r="G64" i="1"/>
  <c r="G65" i="1"/>
  <c r="G66" i="1"/>
  <c r="G68" i="1"/>
  <c r="G72" i="1"/>
  <c r="G76" i="1"/>
  <c r="G79" i="1"/>
  <c r="G83" i="1"/>
  <c r="G87" i="1"/>
  <c r="G90" i="1"/>
  <c r="G91" i="1"/>
  <c r="G94" i="1"/>
  <c r="G95" i="1"/>
  <c r="G42" i="1"/>
  <c r="G47" i="1"/>
  <c r="G48" i="1"/>
  <c r="G49" i="1"/>
  <c r="G50" i="1"/>
  <c r="G7" i="1"/>
  <c r="G13" i="1"/>
  <c r="G14" i="1"/>
  <c r="G15" i="1"/>
  <c r="G16" i="1"/>
  <c r="G18" i="1"/>
  <c r="G19" i="1"/>
  <c r="G5" i="1"/>
  <c r="D360" i="1"/>
  <c r="D358" i="1" s="1"/>
  <c r="D117" i="1"/>
  <c r="G117" i="1" s="1"/>
  <c r="D116" i="1"/>
  <c r="G116" i="1" s="1"/>
  <c r="D126" i="1"/>
  <c r="G126" i="1" s="1"/>
  <c r="D125" i="1"/>
  <c r="G125" i="1" s="1"/>
  <c r="D316" i="1"/>
  <c r="G316" i="1" s="1"/>
  <c r="D75" i="1"/>
  <c r="G75" i="1" s="1"/>
  <c r="D88" i="1"/>
  <c r="D67" i="1"/>
  <c r="G67" i="1" s="1"/>
  <c r="D63" i="1"/>
  <c r="E308" i="1"/>
  <c r="D315" i="1"/>
  <c r="G315" i="1" s="1"/>
  <c r="D320" i="1"/>
  <c r="G320" i="1" s="1"/>
  <c r="D319" i="1"/>
  <c r="G319" i="1" s="1"/>
  <c r="D345" i="1"/>
  <c r="G345" i="1" s="1"/>
  <c r="D343" i="1"/>
  <c r="G343" i="1" s="1"/>
  <c r="D294" i="1"/>
  <c r="D274" i="1"/>
  <c r="D271" i="1" s="1"/>
  <c r="D248" i="1"/>
  <c r="G248" i="1" s="1"/>
  <c r="D54" i="1"/>
  <c r="E24" i="1"/>
  <c r="C24" i="1"/>
  <c r="D26" i="1"/>
  <c r="G26" i="1" s="1"/>
  <c r="D35" i="1"/>
  <c r="G35" i="1" s="1"/>
  <c r="D38" i="1"/>
  <c r="D8" i="1"/>
  <c r="D6" i="1"/>
  <c r="E381" i="1"/>
  <c r="E376" i="1"/>
  <c r="E361" i="1"/>
  <c r="E358" i="1"/>
  <c r="E355" i="1"/>
  <c r="E348" i="1"/>
  <c r="E341" i="1"/>
  <c r="E336" i="1"/>
  <c r="E328" i="1"/>
  <c r="E324" i="1"/>
  <c r="E304" i="1"/>
  <c r="E300" i="1"/>
  <c r="E290" i="1"/>
  <c r="E285" i="1"/>
  <c r="E282" i="1"/>
  <c r="E275" i="1"/>
  <c r="E271" i="1"/>
  <c r="E267" i="1"/>
  <c r="E249" i="1"/>
  <c r="E246" i="1"/>
  <c r="E201" i="1"/>
  <c r="E192" i="1"/>
  <c r="E180" i="1"/>
  <c r="E61" i="1"/>
  <c r="E56" i="1"/>
  <c r="E52" i="1"/>
  <c r="E44" i="1"/>
  <c r="E39" i="1"/>
  <c r="E20" i="1"/>
  <c r="D266" i="1"/>
  <c r="D249" i="1" s="1"/>
  <c r="D27" i="1"/>
  <c r="G27" i="1" s="1"/>
  <c r="D37" i="1"/>
  <c r="G37" i="1" s="1"/>
  <c r="D29" i="1"/>
  <c r="G29" i="1" s="1"/>
  <c r="D36" i="1"/>
  <c r="G36" i="1" s="1"/>
  <c r="D12" i="1"/>
  <c r="D20" i="1" s="1"/>
  <c r="D330" i="1"/>
  <c r="D328" i="1" s="1"/>
  <c r="D302" i="1"/>
  <c r="D303" i="1"/>
  <c r="G303" i="1" s="1"/>
  <c r="D292" i="1"/>
  <c r="D242" i="1"/>
  <c r="G242" i="1" s="1"/>
  <c r="D245" i="1"/>
  <c r="D191" i="1"/>
  <c r="D182" i="1"/>
  <c r="D167" i="1"/>
  <c r="G167" i="1" s="1"/>
  <c r="D173" i="1"/>
  <c r="G173" i="1" s="1"/>
  <c r="D174" i="1"/>
  <c r="G174" i="1" s="1"/>
  <c r="D177" i="1"/>
  <c r="G177" i="1" s="1"/>
  <c r="D170" i="1"/>
  <c r="G170" i="1" s="1"/>
  <c r="D169" i="1"/>
  <c r="G169" i="1" s="1"/>
  <c r="D168" i="1"/>
  <c r="G168" i="1" s="1"/>
  <c r="D179" i="1"/>
  <c r="D55" i="1"/>
  <c r="G55" i="1" s="1"/>
  <c r="D51" i="1"/>
  <c r="G51" i="1" s="1"/>
  <c r="D46" i="1"/>
  <c r="G46" i="1" s="1"/>
  <c r="C39" i="1"/>
  <c r="D33" i="1"/>
  <c r="G33" i="1" s="1"/>
  <c r="D31" i="1"/>
  <c r="G31" i="1" s="1"/>
  <c r="D39" i="1"/>
  <c r="D376" i="1"/>
  <c r="D361" i="1"/>
  <c r="D355" i="1"/>
  <c r="D348" i="1"/>
  <c r="D336" i="1"/>
  <c r="D324" i="1"/>
  <c r="D304" i="1"/>
  <c r="D285" i="1"/>
  <c r="D282" i="1"/>
  <c r="D275" i="1"/>
  <c r="D267" i="1"/>
  <c r="D192" i="1"/>
  <c r="D137" i="1"/>
  <c r="G137" i="1" s="1"/>
  <c r="D136" i="1"/>
  <c r="G136" i="1" s="1"/>
  <c r="D56" i="1"/>
  <c r="F341" i="1" l="1"/>
  <c r="G294" i="1"/>
  <c r="G200" i="1"/>
  <c r="G302" i="1"/>
  <c r="G326" i="1"/>
  <c r="F290" i="1"/>
  <c r="F348" i="1"/>
  <c r="G310" i="1"/>
  <c r="F201" i="1"/>
  <c r="F271" i="1"/>
  <c r="F24" i="1"/>
  <c r="F39" i="1"/>
  <c r="G245" i="1"/>
  <c r="G231" i="1"/>
  <c r="G292" i="1"/>
  <c r="F180" i="1"/>
  <c r="G191" i="1"/>
  <c r="G182" i="1"/>
  <c r="G63" i="1"/>
  <c r="G88" i="1"/>
  <c r="G54" i="1"/>
  <c r="G6" i="1"/>
  <c r="F61" i="1"/>
  <c r="G8" i="1"/>
  <c r="E21" i="1"/>
  <c r="G266" i="1"/>
  <c r="G179" i="1"/>
  <c r="F9" i="1"/>
  <c r="F21" i="1" s="1"/>
  <c r="G38" i="1"/>
  <c r="G274" i="1"/>
  <c r="G12" i="1"/>
  <c r="G360" i="1"/>
  <c r="G330" i="1"/>
  <c r="D308" i="1"/>
  <c r="D24" i="1"/>
  <c r="D290" i="1"/>
  <c r="D246" i="1"/>
  <c r="E365" i="1"/>
  <c r="E279" i="1"/>
  <c r="D9" i="1"/>
  <c r="D180" i="1"/>
  <c r="D341" i="1"/>
  <c r="D300" i="1"/>
  <c r="D201" i="1"/>
  <c r="D44" i="1"/>
  <c r="D52" i="1"/>
  <c r="D61" i="1"/>
  <c r="C381" i="1"/>
  <c r="G381" i="1" s="1"/>
  <c r="C376" i="1"/>
  <c r="G376" i="1" s="1"/>
  <c r="C361" i="1"/>
  <c r="G361" i="1" s="1"/>
  <c r="C358" i="1"/>
  <c r="G358" i="1" s="1"/>
  <c r="C355" i="1"/>
  <c r="G355" i="1" s="1"/>
  <c r="C348" i="1"/>
  <c r="C341" i="1"/>
  <c r="C336" i="1"/>
  <c r="G336" i="1" s="1"/>
  <c r="C328" i="1"/>
  <c r="G328" i="1" s="1"/>
  <c r="C324" i="1"/>
  <c r="G324" i="1" s="1"/>
  <c r="C308" i="1"/>
  <c r="C304" i="1"/>
  <c r="G304" i="1" s="1"/>
  <c r="C300" i="1"/>
  <c r="C290" i="1"/>
  <c r="C285" i="1"/>
  <c r="G285" i="1" s="1"/>
  <c r="C282" i="1"/>
  <c r="G282" i="1" s="1"/>
  <c r="C275" i="1"/>
  <c r="G275" i="1" s="1"/>
  <c r="C271" i="1"/>
  <c r="C267" i="1"/>
  <c r="G267" i="1" s="1"/>
  <c r="C249" i="1"/>
  <c r="G249" i="1" s="1"/>
  <c r="C246" i="1"/>
  <c r="C201" i="1"/>
  <c r="C192" i="1"/>
  <c r="G192" i="1" s="1"/>
  <c r="C180" i="1"/>
  <c r="C61" i="1"/>
  <c r="C56" i="1"/>
  <c r="G56" i="1" s="1"/>
  <c r="C52" i="1"/>
  <c r="C44" i="1"/>
  <c r="C9" i="1"/>
  <c r="C20" i="1"/>
  <c r="G20" i="1" s="1"/>
  <c r="F365" i="1" l="1"/>
  <c r="G348" i="1"/>
  <c r="F279" i="1"/>
  <c r="G271" i="1"/>
  <c r="G341" i="1"/>
  <c r="G308" i="1"/>
  <c r="G24" i="1"/>
  <c r="G246" i="1"/>
  <c r="G9" i="1"/>
  <c r="G201" i="1"/>
  <c r="G300" i="1"/>
  <c r="G180" i="1"/>
  <c r="G61" i="1"/>
  <c r="G52" i="1"/>
  <c r="G290" i="1"/>
  <c r="G44" i="1"/>
  <c r="E366" i="1"/>
  <c r="E377" i="1" s="1"/>
  <c r="D21" i="1"/>
  <c r="D365" i="1"/>
  <c r="D279" i="1"/>
  <c r="C365" i="1"/>
  <c r="C279" i="1"/>
  <c r="C21" i="1"/>
  <c r="F366" i="1" l="1"/>
  <c r="F377" i="1" s="1"/>
  <c r="G365" i="1"/>
  <c r="G21" i="1"/>
  <c r="D366" i="1"/>
  <c r="D377" i="1" s="1"/>
  <c r="C366" i="1"/>
  <c r="G366" i="1" l="1"/>
  <c r="C377" i="1"/>
  <c r="G377" i="1" s="1"/>
  <c r="G279" i="1"/>
  <c r="G39" i="1"/>
</calcChain>
</file>

<file path=xl/sharedStrings.xml><?xml version="1.0" encoding="utf-8"?>
<sst xmlns="http://schemas.openxmlformats.org/spreadsheetml/2006/main" count="583" uniqueCount="367">
  <si>
    <t>Závazný ukazatel</t>
  </si>
  <si>
    <t xml:space="preserve">   Časová použitelnost                 dotací a příspěvků                 (od - do)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</si>
  <si>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</si>
  <si>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</si>
  <si>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</si>
  <si>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</si>
  <si>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</si>
  <si>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</si>
  <si>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</si>
  <si>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</si>
  <si>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</si>
  <si>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</si>
  <si>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</si>
  <si>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</si>
  <si>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</si>
  <si>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</si>
  <si>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</si>
  <si>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</si>
  <si>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</si>
  <si>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</si>
  <si>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</si>
  <si>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</si>
  <si>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</si>
  <si>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</si>
  <si>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</si>
  <si>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Z toho: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</si>
  <si>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</si>
  <si>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</si>
  <si>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</si>
  <si>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</si>
  <si>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</si>
  <si>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</si>
  <si>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</si>
  <si>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</si>
  <si>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</si>
  <si>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</si>
  <si>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</si>
  <si>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</si>
  <si>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</si>
  <si>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</si>
  <si>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</si>
  <si>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</si>
  <si>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</si>
  <si>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</si>
  <si>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</si>
  <si>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</si>
  <si>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</si>
  <si>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</si>
  <si>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</si>
  <si>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</si>
  <si>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</si>
  <si>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</si>
  <si>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</si>
  <si>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</si>
  <si>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</si>
  <si>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</si>
  <si>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</si>
  <si>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</si>
  <si>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</si>
  <si>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</si>
  <si>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</si>
  <si>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</si>
  <si>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</si>
  <si>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</si>
  <si>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</si>
  <si>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</si>
  <si>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</si>
  <si>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</si>
  <si>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</si>
  <si>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</si>
  <si>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</si>
  <si>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</si>
  <si>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</si>
  <si>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</si>
  <si>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</si>
  <si>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</si>
  <si>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</si>
  <si>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</si>
  <si>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</si>
  <si>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</si>
  <si>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</si>
  <si>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</si>
  <si>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</si>
  <si>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</si>
  <si>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</si>
  <si>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</si>
  <si>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</si>
  <si>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</si>
  <si>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</si>
  <si>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</si>
  <si>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</si>
  <si>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</si>
  <si>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</si>
  <si>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</si>
  <si>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</si>
  <si>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</si>
  <si>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</si>
  <si>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</si>
  <si>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</si>
  <si>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</si>
  <si>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</si>
  <si>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</si>
  <si>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</si>
  <si>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</si>
  <si>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</si>
  <si>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</si>
  <si>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</si>
  <si>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</si>
  <si>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</si>
  <si>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</si>
  <si>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</si>
  <si>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</si>
  <si>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</si>
  <si>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</si>
  <si>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</si>
  <si>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</si>
  <si>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</si>
  <si>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</si>
  <si>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</si>
  <si>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</si>
  <si>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</si>
  <si>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</si>
  <si>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</si>
  <si>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</si>
  <si>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</si>
  <si>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</si>
  <si>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</si>
  <si>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</si>
  <si>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</si>
  <si>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</si>
  <si>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</si>
  <si>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</si>
  <si>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</si>
  <si>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</si>
  <si>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</si>
  <si>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</si>
  <si>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</si>
  <si>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</si>
  <si>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</si>
  <si>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</si>
  <si>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</si>
  <si>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</si>
  <si>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</si>
  <si>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</si>
  <si>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</si>
  <si>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</si>
  <si>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</si>
  <si>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</si>
  <si>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</si>
  <si>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</si>
  <si>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</si>
  <si>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</si>
  <si>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</si>
  <si>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</si>
  <si>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</si>
  <si>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</si>
  <si>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</si>
  <si>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</si>
  <si>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</si>
  <si>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</si>
  <si>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</si>
  <si>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</si>
  <si>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</si>
  <si>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</si>
  <si>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</si>
  <si>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</si>
  <si>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</si>
  <si>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</si>
  <si>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</si>
  <si>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</si>
  <si>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</si>
  <si>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</si>
  <si>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</si>
  <si>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</si>
  <si>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</si>
  <si>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</si>
  <si>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</si>
  <si>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</si>
  <si>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</si>
  <si>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</si>
  <si>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</si>
  <si>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</si>
  <si>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</si>
  <si>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</si>
  <si>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</si>
  <si>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</si>
  <si>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</si>
  <si>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</si>
  <si>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</si>
  <si>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</si>
  <si>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</si>
  <si>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</si>
  <si>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</si>
  <si>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</si>
  <si>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</si>
  <si>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</si>
  <si>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</si>
  <si>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</si>
  <si>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</si>
  <si>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</si>
  <si>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</si>
  <si>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</si>
  <si>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</si>
  <si>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</si>
  <si>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</si>
  <si>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</si>
  <si>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</si>
  <si>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</si>
  <si>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</si>
  <si>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</si>
  <si>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</si>
  <si>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</si>
  <si>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</si>
  <si>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</si>
  <si>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</si>
  <si>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</si>
  <si>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</si>
  <si>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</si>
  <si>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</si>
  <si>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</si>
  <si>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</si>
  <si>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</si>
  <si>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</si>
  <si>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Transdev Slezsko, a.s. - provoz MHD</t>
  </si>
  <si>
    <t>Transdev Slezsko, a.s. - provoz MHD - ÚZ 161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</si>
  <si>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</si>
  <si>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</si>
  <si>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</si>
  <si>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</si>
  <si>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</si>
  <si>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1.1.2025 - 31.12.2025</t>
  </si>
  <si>
    <t>DP Podpora a rozvoj mládežnického sportu ve městě - viz doplňující příloha č. 2</t>
  </si>
  <si>
    <t>DP Podpora výchovy, vzdělávání a zájmových aktivit - viz doplňující příloha č. 3</t>
  </si>
  <si>
    <t>MAS Pobeskydí, z.s.- F-M ve 3D realitě - sdílení zkušeností</t>
  </si>
  <si>
    <t>Zimní olympiáda dětí a mládeže 2025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</si>
  <si>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</si>
  <si>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</si>
  <si>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</si>
  <si>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</si>
  <si>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t>Neinvestiční výdaje hrazené z Fondu pomoci občanům dotčeným výstavbou komunikace R/48 - viz doplňující příloha č. 14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</si>
  <si>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</si>
  <si>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</si>
  <si>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</si>
  <si>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</si>
  <si>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</si>
  <si>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</si>
  <si>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</si>
  <si>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</si>
  <si>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</si>
  <si>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1.1.2025 - 30.11.2025</t>
  </si>
  <si>
    <t>Svazek obcí Olešná (dříve pod názvem Dobrovolný svazek obcí Olešná) - členský příspěvek</t>
  </si>
  <si>
    <t>Projekt Nordic walking - ÚZ 00801</t>
  </si>
  <si>
    <t>Individuální dotace na úpravu veřejného prostranství ul. 8. pěsího pluku</t>
  </si>
  <si>
    <t>1.1.2025 - 31.10.2025</t>
  </si>
  <si>
    <t>1.1.2025 - 30.6.2026</t>
  </si>
  <si>
    <t>Společnost pro symfonickou a komorní hudbu ve F-M, z.s. - akce a koncerty na území města F-M</t>
  </si>
  <si>
    <t>1.9.2024 - 31.12.2025</t>
  </si>
  <si>
    <t>1.1.2023 - 31.12.2024</t>
  </si>
  <si>
    <t>1.1.2025 - 12.12.2025</t>
  </si>
  <si>
    <t>1.1.2025 - 15.12.2025</t>
  </si>
  <si>
    <t>Schválený                rozpočet                    na rok 2025                                (v tis. Kč)</t>
  </si>
  <si>
    <t>ZŠ a MŠ Chlebovice</t>
  </si>
  <si>
    <t>ZO ČSOP Nový Jičín 70/02 - záchrana volně žijících živočichů</t>
  </si>
  <si>
    <t>SH ČMS - Sbor dobrovolných hasičů Skalice - akce Skalický kopec</t>
  </si>
  <si>
    <t>1.1.2025 - 30.4.2025</t>
  </si>
  <si>
    <t>Sokolík FM z.s. - "Turistický pochod Lískovecká 10"</t>
  </si>
  <si>
    <t>Sokolík FM z.s. - "Fotbalový turnaj Liga Sokolíka 2025"</t>
  </si>
  <si>
    <t>Sokolík FM z.s. - "Nohejbalový turnaj Sokolíka 2025"</t>
  </si>
  <si>
    <t>TJ Slezská - 2. ZŠ FM - "44. vánoční turnaj ve stolním tenise"</t>
  </si>
  <si>
    <t>Sportovní klub orientačního běhu FM z.s. - "Podzimní krajský žebříček v denním oreintačním běhu"</t>
  </si>
  <si>
    <t>Sportovní klub orientačního běhu FM z.s. -"Jarní krajský žebříček v denním orientačním běhu"</t>
  </si>
  <si>
    <t>SH ČMS - Okresní sdružení hasičů FM - "Závod hasičské všestrannosti a brannosti"</t>
  </si>
  <si>
    <t>Zdravotní klaun - na pravidelné klauniády v Nemocnici ve F-M</t>
  </si>
  <si>
    <t>1.1.2025 - 30.6.2025</t>
  </si>
  <si>
    <t>Podané ruce, z. s. - zabezpečení konference k příležitosti 25. výročí organizace - Den vděčnosti</t>
  </si>
  <si>
    <t>1.1.2025 - 31.7.2025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</si>
  <si>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akce Beskydský pediatrický den 2025</t>
    </r>
  </si>
  <si>
    <t>1.1.2025 - 30.5.2025</t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</si>
  <si>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</si>
  <si>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"Přírodní zahrada ZŠ Lískovec")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</si>
  <si>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</si>
  <si>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Finanční dar na veřejnou sbírku "DARUJ F≈M - vybavení pro Neposedné tlapky"</t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</si>
  <si>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</si>
  <si>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t>MŠ Sněženka - investiční transfer na vybudování nových výpustí a připojení bazénku - s vyúčtováním</t>
  </si>
  <si>
    <t>ZŠ F-M, národního umělce P. Bezruče, tř. TGM 454 - investiční transfer na zařízení odborné učebny chemie - s vyúčtováním</t>
  </si>
  <si>
    <t>ZŠ F-M, Pionýrů 400 - investiční transfer na obnovu technologie ve školní kuchyni - s vyúčtováním</t>
  </si>
  <si>
    <t>ZŠ a MŠ F-M, Chlebovice - investiční transfer MŠ na vybavení zahrady herními prvky - s vyúčtováním</t>
  </si>
  <si>
    <t>ZŠ F-M, El. Krásnohorské 2254 - investiční transfer na ICT - s vyúčtováním</t>
  </si>
  <si>
    <r>
      <t xml:space="preserve">ZŠ a MŠ Lískovec F-M, K Sedlištím 320 - investiční transfer poskytnutý ex post ZŠ - bez vyúčtování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</si>
  <si>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Středisko volného času Klíč - investiční transfer na pořízení služebního auta - s vyúčtováním</t>
  </si>
  <si>
    <t>ŽIRAFA - Integrované centrum Frýdek-Místek, p. o. - investiční transfer na nákup 4 XL bike boxu - s vyúčtováním</t>
  </si>
  <si>
    <t>Finanční dar na veřejnou sbírku "DARUJ F≈M - Vozidlo pro bezbariérovou přepravu"</t>
  </si>
  <si>
    <t>sl. 6</t>
  </si>
  <si>
    <t>SH ČMS - Sbor dobrovolných hasičů Lískovec - akce Ples SDH Lískovec</t>
  </si>
  <si>
    <t>Tenisový klub TENNISPOINT ve Frýdku-Místku - zabezpečení tenisových turnajů kategorie A - dorostenci: Pohár primátora města Frýdku-Místku 2025 a mladší žáci: Štít města Frýdku-Místku 2025</t>
  </si>
  <si>
    <t>Rozpočtová opatření RM       č. 1 - 29                  (v tis. Kč)</t>
  </si>
  <si>
    <t>1. změna rozpočtu                    (v tis. Kč)</t>
  </si>
  <si>
    <t>Way of Warrior z. s. - turnaj Mistrovství Evropy Combat ju jitsu</t>
  </si>
  <si>
    <t>Beskydská volejbalová liga amatérů, z.s. - 16. ročník "Region Beskydy" volejbalové ligy</t>
  </si>
  <si>
    <t>1.1.2025 - 31.5.2025</t>
  </si>
  <si>
    <t>ZŠ a MŠ F-M, Lískovec - ÚZ 17519</t>
  </si>
  <si>
    <t>ZŠ a MŠ F-M, Lískovec - ÚZ 17518</t>
  </si>
  <si>
    <t>ZŠ F-M, Pionýrů 400 - ÚZ 17519</t>
  </si>
  <si>
    <t>ZŠ F-M, Pionýrů 400 - ÚZ 17518</t>
  </si>
  <si>
    <t>Farní sbor českobratrské církve evangelické ve Frýdku-Místku - na opravu fasády kostela</t>
  </si>
  <si>
    <t>ZŠ a MŠ F-M, Chlebovice - ÚZ 33092</t>
  </si>
  <si>
    <t>1.10.2024 - 30.9.2026</t>
  </si>
  <si>
    <t>MŠ Pohádka - ÚZ 33092</t>
  </si>
  <si>
    <t>1.1.2025 - 31.12.2026</t>
  </si>
  <si>
    <t>ZŠ a MŠ F-M, Lískovec - ÚZ 17085</t>
  </si>
  <si>
    <t>ZŠ a MŠ F-M, Lískovec - ÚZ 17084</t>
  </si>
  <si>
    <t>ZŠ F-M, Pionýrů 400 - ÚZ 17085</t>
  </si>
  <si>
    <t>ZŠ F-M, Pionýrů 400 - ÚZ 17084</t>
  </si>
  <si>
    <t>sl. 7</t>
  </si>
  <si>
    <t>ProJantar s.r.o. - zabezpečení Galavečeru předávání Cen Jantar 2024</t>
  </si>
  <si>
    <t>SH ČMS - Sbor dobrovolných hasičů Skalice - účast družstva žen na závodech v klasických disciplínách CTIF</t>
  </si>
  <si>
    <t>MŠ Radost - ÚZ 33092</t>
  </si>
  <si>
    <t>MŠ Beruška - ÚZ 33092</t>
  </si>
  <si>
    <t>1.9.2024 - 31.8.2026</t>
  </si>
  <si>
    <t>MŠ Mateřídouška - ÚZ 33092</t>
  </si>
  <si>
    <t>MŠ Barevný svět - ÚZ 33092</t>
  </si>
  <si>
    <t>ZŠ F-M, J. Čapka 2555 - ÚZ 33092</t>
  </si>
  <si>
    <t>1.2.2025 - 31.1.2027</t>
  </si>
  <si>
    <t>MŠ Sluníčko - ÚZ 33092</t>
  </si>
  <si>
    <t>1.12.2024 - 31.12.2026</t>
  </si>
  <si>
    <t>ZŠ F-M, Pionýrů 400 - ÚZ 33092</t>
  </si>
  <si>
    <t>MŠ Sluníčko - ÚZ 00911</t>
  </si>
  <si>
    <t>1.2.2024 - 30.6.2025</t>
  </si>
  <si>
    <t>MŠ Sluníčko - ÚZ 00253</t>
  </si>
  <si>
    <t>MŠ Sněženka - ÚZ 00911</t>
  </si>
  <si>
    <t>2.9.2024 - 30.6.2025</t>
  </si>
  <si>
    <t>MŠ Sněženka - ÚZ 00253</t>
  </si>
  <si>
    <t>MŠ Radost - ÚZ 00911</t>
  </si>
  <si>
    <t>MŠ Radost - ÚZ 00253</t>
  </si>
  <si>
    <t>ZŠ F-M, El. Krásnohorské 2254 - ÚZ 00911</t>
  </si>
  <si>
    <t>ZŠ F-M, El. Krásnohorské 2254 - ÚZ 00253</t>
  </si>
  <si>
    <t>MŠ Mateřídouška - ÚZ 00911</t>
  </si>
  <si>
    <t>MŠ Mateřídouška - ÚZ 00253</t>
  </si>
  <si>
    <t>ZŠ a MŠ F-M, Chlebovice - na provoz MŠ Chlebovice - ÚZ 33092</t>
  </si>
  <si>
    <t>ZŠ a MŠ F-M, Chlebovice - na provoz ZŠ Chlebovice - ÚZ 33092</t>
  </si>
  <si>
    <t>TRDLA - divadelní společnost absolutních neherců, z. s. - projekt KLAUNOSANATORIUM</t>
  </si>
  <si>
    <t>Nadační fond Pavla Novotného - na činnost dobrovolníků a na projekt "Dny urologické prevence"</t>
  </si>
  <si>
    <t>Svaz postižených civilizačními chorobami v ČR, z. s., okresní organizace F-M - na celoroční činnost spolku</t>
  </si>
  <si>
    <t>Jsem jedno ucho, z. s. - na besedy "Jsem jedno ucho pro ZŠ a SŠ"</t>
  </si>
  <si>
    <t>Rozpočtová opatření RM       č. 30 - 53                  (v tis. Kč)</t>
  </si>
  <si>
    <t>Rozpočet roku 2025 po 1. změně                 a po rozpočtových opatřeních RM           č. 1 - 53                      (v tis. Kč)</t>
  </si>
  <si>
    <t>ORJ 01-Odbor právní a organizační (od 1.1.2025 do 31.3.2025 odbor kancelář primátora)</t>
  </si>
  <si>
    <t>Ostatní neinvestiční výdaje odboru právního a organizačního</t>
  </si>
  <si>
    <t>Navínko s.r.o. - zabezpečení akce Frýdek-Místek žije vínem 2025</t>
  </si>
  <si>
    <t>Sjednocená organizace nevidomých a slabozrakých ČR, z.s. - Festival Dny umění nevidomých 2025</t>
  </si>
  <si>
    <t>ZŠ F-M, El. Krásnohorské 2254 - ÚZ 33092</t>
  </si>
  <si>
    <t>1.2.2025 - 30.6.2027</t>
  </si>
  <si>
    <t>ZŠ F-M, Komensiého 402 - ÚZ 33092</t>
  </si>
  <si>
    <t>ZŠ F-M, Československé armády 570 - ÚZ 33092</t>
  </si>
  <si>
    <t>MŠ Pohádka - ÚZ 00911</t>
  </si>
  <si>
    <t>MŠ Pohádka - ÚZ 00253</t>
  </si>
  <si>
    <t>ZŠ a MŠ Naděje, F-M, Škarabelova 562 - na provoz MŠ K Hájku - ÚZ 00911</t>
  </si>
  <si>
    <t>ZŠ a MŠ Naděje, F-M, Škarabelova 562 - na provoz ZŠ - ÚZ 00911</t>
  </si>
  <si>
    <t>ZŠ a MŠ Naděje, F-M, Škarabekiva 562 - na provoz ZŠ - ÚZ 00253</t>
  </si>
  <si>
    <t>2.9.20245 - 30.6.2025</t>
  </si>
  <si>
    <t>ZŠ a MŠ Naděje, F-M, Škarabelova 562 - na provoz MŠ K Hájku - ÚZ 00253</t>
  </si>
  <si>
    <t>MŠ Beruška - ÚZ 00911</t>
  </si>
  <si>
    <t>MŠ Beruška - ÚZ 00253</t>
  </si>
  <si>
    <t>ZŠ F-M, El. Krásnohorské 2254 - ÚZ 33093</t>
  </si>
  <si>
    <t>Městská knihovna frýdek-Místek - ÚZ 00345</t>
  </si>
  <si>
    <t>1.1.-2025 - 31.12.2025</t>
  </si>
  <si>
    <t>Nemocnice ve F-M, p. o. - Den zdraví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</si>
</sst>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6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0" fillId="0" borderId="18" xfId="0" applyBorder="1"/>
    <xf numFmtId="0" fontId="0" fillId="4" borderId="17" xfId="0" applyFill="1" applyBorder="1"/>
    <xf numFmtId="0" fontId="0" fillId="0" borderId="6" xfId="0" applyBorder="1"/>
    <xf numFmtId="0" fontId="0" fillId="4" borderId="3" xfId="0" applyFill="1" applyBorder="1"/>
    <xf numFmtId="0" fontId="4" fillId="0" borderId="21" xfId="0" applyFont="1" applyBorder="1" applyAlignment="1">
      <alignment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4" fillId="0" borderId="28" xfId="0" applyFont="1" applyBorder="1" applyAlignment="1">
      <alignment vertical="center" wrapText="1"/>
    </xf>
    <xf numFmtId="0" fontId="4" fillId="3" borderId="8" xfId="0" applyFont="1" applyFill="1" applyBorder="1" applyAlignment="1">
      <alignment horizontal="center" vertical="center"/>
    </xf>
    <xf numFmtId="4" fontId="0" fillId="0" borderId="0" xfId="0" applyNumberFormat="1"/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vertical="center"/>
    </xf>
    <xf numFmtId="4" fontId="5" fillId="4" borderId="3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1" fillId="2" borderId="2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0" fillId="0" borderId="16" xfId="0" applyBorder="1"/>
    <xf numFmtId="0" fontId="0" fillId="4" borderId="15" xfId="0" applyFill="1" applyBorder="1"/>
    <xf numFmtId="4" fontId="4" fillId="0" borderId="18" xfId="0" applyNumberFormat="1" applyFont="1" applyBorder="1" applyAlignment="1">
      <alignment vertical="center"/>
    </xf>
    <xf numFmtId="4" fontId="5" fillId="5" borderId="3" xfId="0" applyNumberFormat="1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horizontal="right" vertical="center"/>
    </xf>
    <xf numFmtId="4" fontId="7" fillId="8" borderId="3" xfId="0" applyNumberFormat="1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center" vertical="center"/>
    </xf>
    <xf numFmtId="4" fontId="4" fillId="0" borderId="22" xfId="0" applyNumberFormat="1" applyFont="1" applyBorder="1" applyAlignment="1">
      <alignment vertical="center"/>
    </xf>
    <xf numFmtId="4" fontId="4" fillId="0" borderId="30" xfId="0" applyNumberFormat="1" applyFont="1" applyBorder="1" applyAlignment="1">
      <alignment vertical="center"/>
    </xf>
    <xf numFmtId="4" fontId="4" fillId="0" borderId="31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3" borderId="32" xfId="0" applyFont="1" applyFill="1" applyBorder="1" applyAlignment="1">
      <alignment horizontal="center" vertical="center"/>
    </xf>
    <xf numFmtId="4" fontId="4" fillId="0" borderId="32" xfId="0" applyNumberFormat="1" applyFont="1" applyBorder="1" applyAlignment="1">
      <alignment vertical="center"/>
    </xf>
    <xf numFmtId="0" fontId="4" fillId="0" borderId="11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top"/>
    </xf>
    <xf numFmtId="4" fontId="4" fillId="0" borderId="6" xfId="0" applyNumberFormat="1" applyFont="1" applyBorder="1" applyAlignment="1">
      <alignment vertical="top"/>
    </xf>
    <xf numFmtId="4" fontId="4" fillId="0" borderId="12" xfId="0" applyNumberFormat="1" applyFont="1" applyBorder="1" applyAlignment="1">
      <alignment horizontal="right" vertical="top"/>
    </xf>
    <xf numFmtId="4" fontId="6" fillId="0" borderId="8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4" fontId="14" fillId="8" borderId="3" xfId="0" applyNumberFormat="1" applyFont="1" applyFill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vertical="center"/>
    </xf>
    <xf numFmtId="0" fontId="15" fillId="8" borderId="1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4" fillId="0" borderId="34" xfId="0" applyFont="1" applyBorder="1" applyAlignment="1">
      <alignment vertical="center" wrapText="1"/>
    </xf>
    <xf numFmtId="0" fontId="4" fillId="3" borderId="31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/>
    </xf>
    <xf numFmtId="4" fontId="4" fillId="0" borderId="6" xfId="0" applyNumberFormat="1" applyFont="1" applyBorder="1" applyAlignment="1">
      <alignment horizontal="right" vertical="top"/>
    </xf>
    <xf numFmtId="0" fontId="0" fillId="8" borderId="3" xfId="0" applyFill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horizontal="right" vertical="center"/>
    </xf>
    <xf numFmtId="4" fontId="4" fillId="3" borderId="6" xfId="0" applyNumberFormat="1" applyFont="1" applyFill="1" applyBorder="1" applyAlignment="1">
      <alignment horizontal="right" vertical="center"/>
    </xf>
    <xf numFmtId="4" fontId="3" fillId="7" borderId="17" xfId="0" applyNumberFormat="1" applyFont="1" applyFill="1" applyBorder="1" applyAlignment="1">
      <alignment vertical="center"/>
    </xf>
    <xf numFmtId="4" fontId="4" fillId="7" borderId="17" xfId="0" applyNumberFormat="1" applyFont="1" applyFill="1" applyBorder="1" applyAlignment="1">
      <alignment vertical="center"/>
    </xf>
    <xf numFmtId="4" fontId="5" fillId="4" borderId="17" xfId="0" applyNumberFormat="1" applyFont="1" applyFill="1" applyBorder="1" applyAlignment="1">
      <alignment vertical="center"/>
    </xf>
    <xf numFmtId="4" fontId="3" fillId="5" borderId="17" xfId="0" applyNumberFormat="1" applyFont="1" applyFill="1" applyBorder="1" applyAlignment="1">
      <alignment vertical="center"/>
    </xf>
    <xf numFmtId="4" fontId="4" fillId="5" borderId="17" xfId="0" applyNumberFormat="1" applyFont="1" applyFill="1" applyBorder="1" applyAlignment="1">
      <alignment vertical="center"/>
    </xf>
    <xf numFmtId="4" fontId="5" fillId="6" borderId="17" xfId="0" applyNumberFormat="1" applyFont="1" applyFill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3" fillId="8" borderId="33" xfId="0" applyNumberFormat="1" applyFont="1" applyFill="1" applyBorder="1" applyAlignment="1">
      <alignment vertical="center"/>
    </xf>
    <xf numFmtId="4" fontId="4" fillId="0" borderId="35" xfId="0" applyNumberFormat="1" applyFont="1" applyBorder="1" applyAlignment="1">
      <alignment vertical="center"/>
    </xf>
    <xf numFmtId="4" fontId="0" fillId="0" borderId="8" xfId="0" applyNumberForma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4" fontId="4" fillId="0" borderId="36" xfId="0" applyNumberFormat="1" applyFont="1" applyBorder="1" applyAlignment="1">
      <alignment vertical="center"/>
    </xf>
    <xf numFmtId="4" fontId="4" fillId="0" borderId="37" xfId="0" applyNumberFormat="1" applyFont="1" applyBorder="1" applyAlignment="1">
      <alignment vertical="center"/>
    </xf>
    <xf numFmtId="0" fontId="4" fillId="3" borderId="30" xfId="0" applyFont="1" applyFill="1" applyBorder="1" applyAlignment="1">
      <alignment horizontal="center" vertical="center"/>
    </xf>
    <xf numFmtId="0" fontId="4" fillId="0" borderId="38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4" fontId="4" fillId="0" borderId="39" xfId="0" applyNumberFormat="1" applyFont="1" applyBorder="1" applyAlignment="1">
      <alignment vertical="center"/>
    </xf>
    <xf numFmtId="4" fontId="3" fillId="8" borderId="3" xfId="0" applyNumberFormat="1" applyFont="1" applyFill="1" applyBorder="1" applyAlignment="1">
      <alignment horizontal="right" vertical="center"/>
    </xf>
    <xf numFmtId="4" fontId="14" fillId="8" borderId="3" xfId="0" applyNumberFormat="1" applyFont="1" applyFill="1" applyBorder="1" applyAlignment="1">
      <alignment horizontal="right" vertical="center"/>
    </xf>
    <xf numFmtId="0" fontId="7" fillId="8" borderId="40" xfId="0" applyFont="1" applyFill="1" applyBorder="1" applyAlignment="1">
      <alignment vertical="center" wrapText="1"/>
    </xf>
    <xf numFmtId="0" fontId="3" fillId="3" borderId="38" xfId="0" applyFont="1" applyFill="1" applyBorder="1" applyAlignment="1">
      <alignment vertical="center"/>
    </xf>
    <xf numFmtId="0" fontId="3" fillId="7" borderId="40" xfId="0" applyFont="1" applyFill="1" applyBorder="1" applyAlignment="1">
      <alignment vertical="center"/>
    </xf>
    <xf numFmtId="0" fontId="4" fillId="0" borderId="41" xfId="0" applyFont="1" applyBorder="1" applyAlignment="1">
      <alignment vertical="center"/>
    </xf>
    <xf numFmtId="0" fontId="3" fillId="3" borderId="25" xfId="0" applyFont="1" applyFill="1" applyBorder="1" applyAlignment="1">
      <alignment horizontal="center" vertical="center"/>
    </xf>
    <xf numFmtId="0" fontId="0" fillId="8" borderId="3" xfId="0" applyFill="1" applyBorder="1" applyAlignment="1">
      <alignment vertical="center" wrapText="1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H384"/>
  <sheetViews>
    <sheetView tabSelected="1" view="pageLayout" zoomScale="110" zoomScaleNormal="100" zoomScalePageLayoutView="110" workbookViewId="0">
      <selection activeCell="B7" sqref="B7"/>
    </sheetView>
  </sheetViews>
  <sheetFormatPr defaultColWidth="9.125" defaultRowHeight="14.3" x14ac:dyDescent="0.25"/>
  <cols>
    <col min="1" max="1" width="56.625" customWidth="1"/>
    <col min="2" max="2" width="16.25" customWidth="1"/>
    <col min="3" max="3" width="13" customWidth="1"/>
    <col min="4" max="4" width="10.625" customWidth="1"/>
    <col min="5" max="5" width="11.375" customWidth="1"/>
    <col min="6" max="6" width="10.875" customWidth="1"/>
    <col min="7" max="7" width="13" customWidth="1"/>
    <col min="8" max="8" width="12.125" customWidth="1"/>
  </cols>
  <sheetData>
    <row r="1" spans="1:8" ht="72" customHeight="1" thickBot="1" x14ac:dyDescent="0.3">
      <c r="A1" s="92" t="s">
        <v>0</v>
      </c>
      <c r="B1" s="93" t="s">
        <v>1</v>
      </c>
      <c r="C1" s="94" t="s">
        <v>260</v>
      </c>
      <c r="D1" s="95" t="s">
        <v>295</v>
      </c>
      <c r="E1" s="94" t="s">
        <v>296</v>
      </c>
      <c r="F1" s="94" t="s">
        <v>344</v>
      </c>
      <c r="G1" s="91" t="s">
        <v>345</v>
      </c>
    </row>
    <row r="2" spans="1:8" ht="13.6" customHeight="1" thickBot="1" x14ac:dyDescent="0.3">
      <c r="A2" s="1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3" t="s">
        <v>292</v>
      </c>
      <c r="G2" s="127" t="s">
        <v>313</v>
      </c>
    </row>
    <row r="3" spans="1:8" ht="9.6999999999999993" customHeight="1" thickBot="1" x14ac:dyDescent="0.3">
      <c r="A3" s="4"/>
      <c r="B3" s="5"/>
      <c r="C3" s="71"/>
      <c r="D3" s="96"/>
      <c r="E3" s="71"/>
      <c r="F3" s="71"/>
      <c r="G3" s="69"/>
    </row>
    <row r="4" spans="1:8" ht="16.5" customHeight="1" thickBot="1" x14ac:dyDescent="0.3">
      <c r="A4" s="6" t="s">
        <v>7</v>
      </c>
      <c r="B4" s="7"/>
      <c r="C4" s="72"/>
      <c r="D4" s="97"/>
      <c r="E4" s="72"/>
      <c r="F4" s="72"/>
      <c r="G4" s="70"/>
    </row>
    <row r="5" spans="1:8" ht="14.95" customHeight="1" x14ac:dyDescent="0.25">
      <c r="A5" s="8" t="s">
        <v>8</v>
      </c>
      <c r="B5" s="9"/>
      <c r="C5" s="10">
        <v>1306067</v>
      </c>
      <c r="D5" s="10">
        <v>0</v>
      </c>
      <c r="E5" s="10">
        <v>19763.5</v>
      </c>
      <c r="F5" s="10">
        <v>0</v>
      </c>
      <c r="G5" s="83">
        <f>SUM(C5:F5)</f>
        <v>1325830.5</v>
      </c>
    </row>
    <row r="6" spans="1:8" ht="14.95" customHeight="1" x14ac:dyDescent="0.25">
      <c r="A6" s="8" t="s">
        <v>9</v>
      </c>
      <c r="B6" s="9"/>
      <c r="C6" s="10">
        <v>225641</v>
      </c>
      <c r="D6" s="13">
        <f>475.74+167.01+1065.77</f>
        <v>1708.52</v>
      </c>
      <c r="E6" s="13">
        <v>-789.78</v>
      </c>
      <c r="F6" s="10">
        <f>57.17+67.31+329.6</f>
        <v>454.08000000000004</v>
      </c>
      <c r="G6" s="83">
        <f t="shared" ref="G6:G83" si="0">SUM(C6:F6)</f>
        <v>227013.81999999998</v>
      </c>
    </row>
    <row r="7" spans="1:8" ht="14.95" customHeight="1" x14ac:dyDescent="0.25">
      <c r="A7" s="11" t="s">
        <v>10</v>
      </c>
      <c r="B7" s="12"/>
      <c r="C7" s="10">
        <v>61500</v>
      </c>
      <c r="D7" s="13">
        <v>0</v>
      </c>
      <c r="E7" s="13">
        <v>0</v>
      </c>
      <c r="F7" s="10">
        <v>0</v>
      </c>
      <c r="G7" s="83">
        <f t="shared" si="0"/>
        <v>61500</v>
      </c>
    </row>
    <row r="8" spans="1:8" ht="16.5" customHeight="1" thickBot="1" x14ac:dyDescent="0.3">
      <c r="A8" s="14" t="s">
        <v>11</v>
      </c>
      <c r="B8" s="15"/>
      <c r="C8" s="21">
        <v>249289.98</v>
      </c>
      <c r="D8" s="16">
        <f>7933.14</f>
        <v>7933.14</v>
      </c>
      <c r="E8" s="16">
        <v>-8922</v>
      </c>
      <c r="F8" s="21">
        <f>6072.39+9267.92</f>
        <v>15340.310000000001</v>
      </c>
      <c r="G8" s="98">
        <f t="shared" si="0"/>
        <v>263641.43000000005</v>
      </c>
    </row>
    <row r="9" spans="1:8" ht="16.5" customHeight="1" thickBot="1" x14ac:dyDescent="0.3">
      <c r="A9" s="17" t="s">
        <v>12</v>
      </c>
      <c r="B9" s="18"/>
      <c r="C9" s="84">
        <f>SUM(C5:C8)</f>
        <v>1842497.98</v>
      </c>
      <c r="D9" s="84">
        <f>SUM(D5:D8)</f>
        <v>9641.66</v>
      </c>
      <c r="E9" s="84">
        <f>SUM(E5:E8)</f>
        <v>10051.720000000001</v>
      </c>
      <c r="F9" s="84">
        <f>SUM(F5:F8)</f>
        <v>15794.390000000001</v>
      </c>
      <c r="G9" s="138">
        <f>SUM(C9:F9)</f>
        <v>1877985.7499999998</v>
      </c>
      <c r="H9" s="77"/>
    </row>
    <row r="10" spans="1:8" ht="12.75" customHeight="1" thickBot="1" x14ac:dyDescent="0.3">
      <c r="A10" s="19"/>
      <c r="B10" s="20"/>
      <c r="C10" s="21"/>
      <c r="D10" s="21"/>
      <c r="E10" s="21"/>
      <c r="F10" s="21"/>
      <c r="G10" s="98"/>
    </row>
    <row r="11" spans="1:8" ht="14.95" customHeight="1" thickBot="1" x14ac:dyDescent="0.3">
      <c r="A11" s="22" t="s">
        <v>13</v>
      </c>
      <c r="B11" s="23"/>
      <c r="C11" s="24"/>
      <c r="D11" s="24"/>
      <c r="E11" s="24"/>
      <c r="F11" s="24"/>
      <c r="G11" s="140"/>
    </row>
    <row r="12" spans="1:8" x14ac:dyDescent="0.25">
      <c r="A12" s="8" t="s">
        <v>14</v>
      </c>
      <c r="B12" s="9"/>
      <c r="C12" s="10">
        <v>518930.57</v>
      </c>
      <c r="D12" s="10">
        <f>24.46+483.3+178.41</f>
        <v>686.17</v>
      </c>
      <c r="E12" s="10">
        <v>88366.47</v>
      </c>
      <c r="F12" s="10">
        <v>0</v>
      </c>
      <c r="G12" s="83">
        <f t="shared" si="0"/>
        <v>607983.21</v>
      </c>
    </row>
    <row r="13" spans="1:8" x14ac:dyDescent="0.25">
      <c r="A13" s="11" t="s">
        <v>15</v>
      </c>
      <c r="B13" s="12"/>
      <c r="C13" s="82">
        <v>63707.6</v>
      </c>
      <c r="D13" s="13">
        <v>0</v>
      </c>
      <c r="E13" s="13">
        <v>139247.65</v>
      </c>
      <c r="F13" s="10">
        <v>0</v>
      </c>
      <c r="G13" s="83">
        <f t="shared" si="0"/>
        <v>202955.25</v>
      </c>
    </row>
    <row r="14" spans="1:8" ht="14.95" customHeight="1" x14ac:dyDescent="0.25">
      <c r="A14" s="11" t="s">
        <v>16</v>
      </c>
      <c r="B14" s="12"/>
      <c r="C14" s="82">
        <v>14462</v>
      </c>
      <c r="D14" s="13">
        <v>0</v>
      </c>
      <c r="E14" s="13">
        <v>0</v>
      </c>
      <c r="F14" s="10">
        <v>0</v>
      </c>
      <c r="G14" s="83">
        <f t="shared" si="0"/>
        <v>14462</v>
      </c>
    </row>
    <row r="15" spans="1:8" ht="27" customHeight="1" x14ac:dyDescent="0.25">
      <c r="A15" s="11" t="s">
        <v>17</v>
      </c>
      <c r="B15" s="12"/>
      <c r="C15" s="82">
        <v>2450</v>
      </c>
      <c r="D15" s="13">
        <v>0</v>
      </c>
      <c r="E15" s="13">
        <v>-930</v>
      </c>
      <c r="F15" s="10">
        <v>0</v>
      </c>
      <c r="G15" s="83">
        <f t="shared" si="0"/>
        <v>1520</v>
      </c>
    </row>
    <row r="16" spans="1:8" ht="14.95" customHeight="1" x14ac:dyDescent="0.25">
      <c r="A16" s="11" t="s">
        <v>18</v>
      </c>
      <c r="B16" s="12"/>
      <c r="C16" s="82">
        <v>0</v>
      </c>
      <c r="D16" s="81">
        <v>0</v>
      </c>
      <c r="E16" s="81">
        <v>0</v>
      </c>
      <c r="F16" s="82">
        <v>0</v>
      </c>
      <c r="G16" s="83">
        <f t="shared" si="0"/>
        <v>0</v>
      </c>
    </row>
    <row r="17" spans="1:8" ht="14.3" customHeight="1" x14ac:dyDescent="0.25">
      <c r="A17" s="11" t="s">
        <v>19</v>
      </c>
      <c r="B17" s="12"/>
      <c r="C17" s="82">
        <v>3000</v>
      </c>
      <c r="D17" s="13">
        <v>0</v>
      </c>
      <c r="E17" s="13">
        <v>0</v>
      </c>
      <c r="F17" s="10">
        <v>0</v>
      </c>
      <c r="G17" s="83">
        <f>SUM(C17:F17)</f>
        <v>3000</v>
      </c>
    </row>
    <row r="18" spans="1:8" ht="14.3" customHeight="1" x14ac:dyDescent="0.25">
      <c r="A18" s="26" t="s">
        <v>20</v>
      </c>
      <c r="B18" s="12"/>
      <c r="C18" s="82">
        <v>0</v>
      </c>
      <c r="D18" s="81">
        <v>0</v>
      </c>
      <c r="E18" s="81">
        <v>0</v>
      </c>
      <c r="F18" s="82">
        <v>0</v>
      </c>
      <c r="G18" s="83">
        <f t="shared" si="0"/>
        <v>0</v>
      </c>
    </row>
    <row r="19" spans="1:8" ht="14.95" customHeight="1" thickBot="1" x14ac:dyDescent="0.3">
      <c r="A19" s="14" t="s">
        <v>21</v>
      </c>
      <c r="B19" s="15"/>
      <c r="C19" s="85">
        <v>0</v>
      </c>
      <c r="D19" s="89">
        <v>0</v>
      </c>
      <c r="E19" s="89">
        <v>0</v>
      </c>
      <c r="F19" s="85">
        <v>0</v>
      </c>
      <c r="G19" s="98">
        <f t="shared" si="0"/>
        <v>0</v>
      </c>
    </row>
    <row r="20" spans="1:8" ht="15.8" customHeight="1" thickBot="1" x14ac:dyDescent="0.3">
      <c r="A20" s="22" t="s">
        <v>22</v>
      </c>
      <c r="B20" s="27"/>
      <c r="C20" s="86">
        <f>SUM(C12:C19)</f>
        <v>602550.17000000004</v>
      </c>
      <c r="D20" s="86">
        <f>SUM(D12:D19)</f>
        <v>686.17</v>
      </c>
      <c r="E20" s="86">
        <f>SUM(E12:E19)</f>
        <v>226684.12</v>
      </c>
      <c r="F20" s="86">
        <f>SUM(F12:F19)</f>
        <v>0</v>
      </c>
      <c r="G20" s="139">
        <f t="shared" si="0"/>
        <v>829920.46000000008</v>
      </c>
      <c r="H20" s="77"/>
    </row>
    <row r="21" spans="1:8" ht="17.350000000000001" customHeight="1" thickBot="1" x14ac:dyDescent="0.3">
      <c r="A21" s="28" t="s">
        <v>23</v>
      </c>
      <c r="B21" s="29"/>
      <c r="C21" s="87">
        <f>C9+C20</f>
        <v>2445048.15</v>
      </c>
      <c r="D21" s="87">
        <f>SUM(D9+D20)</f>
        <v>10327.83</v>
      </c>
      <c r="E21" s="87">
        <f>SUM(E9+E20)</f>
        <v>236735.84</v>
      </c>
      <c r="F21" s="87">
        <f>SUM(F9+F20)</f>
        <v>15794.390000000001</v>
      </c>
      <c r="G21" s="141">
        <f t="shared" si="0"/>
        <v>2707906.21</v>
      </c>
      <c r="H21" s="77"/>
    </row>
    <row r="22" spans="1:8" ht="10.55" customHeight="1" thickBot="1" x14ac:dyDescent="0.3">
      <c r="A22" s="19"/>
      <c r="B22" s="20"/>
      <c r="C22" s="21"/>
      <c r="D22" s="21"/>
      <c r="E22" s="21"/>
      <c r="F22" s="21"/>
      <c r="G22" s="98"/>
    </row>
    <row r="23" spans="1:8" ht="14.3" customHeight="1" thickBot="1" x14ac:dyDescent="0.3">
      <c r="A23" s="30" t="s">
        <v>24</v>
      </c>
      <c r="B23" s="31"/>
      <c r="C23" s="32"/>
      <c r="D23" s="32"/>
      <c r="E23" s="32"/>
      <c r="F23" s="32"/>
      <c r="G23" s="137"/>
    </row>
    <row r="24" spans="1:8" ht="26.35" customHeight="1" thickBot="1" x14ac:dyDescent="0.3">
      <c r="A24" s="33" t="s">
        <v>346</v>
      </c>
      <c r="B24" s="34"/>
      <c r="C24" s="35">
        <f>SUM(C26:C38)</f>
        <v>8374</v>
      </c>
      <c r="D24" s="35">
        <f>SUM(D26:D38)</f>
        <v>0</v>
      </c>
      <c r="E24" s="35">
        <f>SUM(E26:E38)</f>
        <v>200</v>
      </c>
      <c r="F24" s="35">
        <f>SUM(F26:F38)</f>
        <v>0</v>
      </c>
      <c r="G24" s="143">
        <f t="shared" si="0"/>
        <v>8574</v>
      </c>
      <c r="H24" s="77"/>
    </row>
    <row r="25" spans="1:8" x14ac:dyDescent="0.25">
      <c r="A25" s="36" t="s">
        <v>25</v>
      </c>
      <c r="B25" s="9"/>
      <c r="C25" s="10"/>
      <c r="D25" s="10"/>
      <c r="E25" s="10"/>
      <c r="F25" s="10"/>
      <c r="G25" s="83"/>
    </row>
    <row r="26" spans="1:8" ht="27.2" x14ac:dyDescent="0.25">
      <c r="A26" s="36" t="s">
        <v>298</v>
      </c>
      <c r="B26" s="9" t="s">
        <v>299</v>
      </c>
      <c r="C26" s="10">
        <v>0</v>
      </c>
      <c r="D26" s="10">
        <f>50</f>
        <v>50</v>
      </c>
      <c r="E26" s="10">
        <v>0</v>
      </c>
      <c r="F26" s="10">
        <v>0</v>
      </c>
      <c r="G26" s="83">
        <f t="shared" si="0"/>
        <v>50</v>
      </c>
    </row>
    <row r="27" spans="1:8" ht="17.350000000000001" customHeight="1" x14ac:dyDescent="0.25">
      <c r="A27" s="36" t="s">
        <v>276</v>
      </c>
      <c r="B27" s="40" t="s">
        <v>277</v>
      </c>
      <c r="C27" s="10">
        <v>0</v>
      </c>
      <c r="D27" s="10">
        <f>50</f>
        <v>50</v>
      </c>
      <c r="E27" s="10">
        <v>0</v>
      </c>
      <c r="F27" s="10">
        <v>0</v>
      </c>
      <c r="G27" s="83">
        <f>SUM(C27:F27)</f>
        <v>50</v>
      </c>
    </row>
    <row r="28" spans="1:8" ht="17.350000000000001" customHeight="1" x14ac:dyDescent="0.25">
      <c r="A28" s="36" t="s">
        <v>348</v>
      </c>
      <c r="B28" s="40" t="s">
        <v>249</v>
      </c>
      <c r="C28" s="10">
        <v>0</v>
      </c>
      <c r="D28" s="10">
        <v>0</v>
      </c>
      <c r="E28" s="10">
        <v>0</v>
      </c>
      <c r="F28" s="10">
        <f>100</f>
        <v>100</v>
      </c>
      <c r="G28" s="83">
        <f>SUM(C28:F28)</f>
        <v>100</v>
      </c>
    </row>
    <row r="29" spans="1:8" ht="27.2" x14ac:dyDescent="0.25">
      <c r="A29" s="36" t="s">
        <v>274</v>
      </c>
      <c r="B29" s="40" t="s">
        <v>275</v>
      </c>
      <c r="C29" s="10">
        <v>0</v>
      </c>
      <c r="D29" s="10">
        <f>60</f>
        <v>60</v>
      </c>
      <c r="E29" s="10">
        <v>0</v>
      </c>
      <c r="F29" s="10">
        <v>0</v>
      </c>
      <c r="G29" s="83">
        <f>SUM(C29:F29)</f>
        <v>60</v>
      </c>
    </row>
    <row r="30" spans="1:8" x14ac:dyDescent="0.25">
      <c r="A30" s="36" t="s">
        <v>314</v>
      </c>
      <c r="B30" s="40" t="s">
        <v>275</v>
      </c>
      <c r="C30" s="10">
        <v>0</v>
      </c>
      <c r="D30" s="10">
        <v>0</v>
      </c>
      <c r="E30" s="10">
        <v>0</v>
      </c>
      <c r="F30" s="10">
        <f>50</f>
        <v>50</v>
      </c>
      <c r="G30" s="83">
        <f>SUM(C30:F30)</f>
        <v>50</v>
      </c>
    </row>
    <row r="31" spans="1:8" ht="14.3" customHeight="1" x14ac:dyDescent="0.25">
      <c r="A31" s="41" t="s">
        <v>263</v>
      </c>
      <c r="B31" s="42" t="s">
        <v>253</v>
      </c>
      <c r="C31" s="13">
        <v>0</v>
      </c>
      <c r="D31" s="13">
        <f>35</f>
        <v>35</v>
      </c>
      <c r="E31" s="13">
        <v>0</v>
      </c>
      <c r="F31" s="10">
        <v>0</v>
      </c>
      <c r="G31" s="83">
        <f t="shared" si="0"/>
        <v>35</v>
      </c>
    </row>
    <row r="32" spans="1:8" ht="28.55" customHeight="1" x14ac:dyDescent="0.25">
      <c r="A32" s="36" t="s">
        <v>315</v>
      </c>
      <c r="B32" s="40" t="s">
        <v>249</v>
      </c>
      <c r="C32" s="10">
        <v>0</v>
      </c>
      <c r="D32" s="10">
        <v>0</v>
      </c>
      <c r="E32" s="10">
        <v>0</v>
      </c>
      <c r="F32" s="10">
        <f>30</f>
        <v>30</v>
      </c>
      <c r="G32" s="83">
        <f>SUM(C32:F32)</f>
        <v>30</v>
      </c>
    </row>
    <row r="33" spans="1:8" ht="15.8" customHeight="1" x14ac:dyDescent="0.25">
      <c r="A33" s="36" t="s">
        <v>293</v>
      </c>
      <c r="B33" s="40" t="s">
        <v>264</v>
      </c>
      <c r="C33" s="10">
        <v>0</v>
      </c>
      <c r="D33" s="10">
        <f>10</f>
        <v>10</v>
      </c>
      <c r="E33" s="10">
        <v>0</v>
      </c>
      <c r="F33" s="10">
        <v>0</v>
      </c>
      <c r="G33" s="83">
        <f t="shared" si="0"/>
        <v>10</v>
      </c>
    </row>
    <row r="34" spans="1:8" ht="25.5" customHeight="1" x14ac:dyDescent="0.25">
      <c r="A34" s="36" t="s">
        <v>349</v>
      </c>
      <c r="B34" s="40" t="s">
        <v>253</v>
      </c>
      <c r="C34" s="10">
        <v>0</v>
      </c>
      <c r="D34" s="10">
        <v>0</v>
      </c>
      <c r="E34" s="10">
        <v>0</v>
      </c>
      <c r="F34" s="10">
        <f>20</f>
        <v>20</v>
      </c>
      <c r="G34" s="83">
        <f>SUM(C34:F34)</f>
        <v>20</v>
      </c>
    </row>
    <row r="35" spans="1:8" ht="15.8" customHeight="1" x14ac:dyDescent="0.25">
      <c r="A35" s="36" t="s">
        <v>297</v>
      </c>
      <c r="B35" s="40" t="s">
        <v>275</v>
      </c>
      <c r="C35" s="10">
        <v>0</v>
      </c>
      <c r="D35" s="10">
        <f>60</f>
        <v>60</v>
      </c>
      <c r="E35" s="10">
        <v>0</v>
      </c>
      <c r="F35" s="10">
        <v>0</v>
      </c>
      <c r="G35" s="83">
        <f t="shared" si="0"/>
        <v>60</v>
      </c>
    </row>
    <row r="36" spans="1:8" ht="42.8" customHeight="1" x14ac:dyDescent="0.25">
      <c r="A36" s="41" t="s">
        <v>294</v>
      </c>
      <c r="B36" s="42" t="s">
        <v>273</v>
      </c>
      <c r="C36" s="13">
        <v>0</v>
      </c>
      <c r="D36" s="13">
        <f>50</f>
        <v>50</v>
      </c>
      <c r="E36" s="13">
        <v>0</v>
      </c>
      <c r="F36" s="10">
        <v>0</v>
      </c>
      <c r="G36" s="83">
        <f t="shared" si="0"/>
        <v>50</v>
      </c>
    </row>
    <row r="37" spans="1:8" ht="15.8" customHeight="1" x14ac:dyDescent="0.25">
      <c r="A37" s="41" t="s">
        <v>262</v>
      </c>
      <c r="B37" s="42" t="s">
        <v>249</v>
      </c>
      <c r="C37" s="13">
        <v>0</v>
      </c>
      <c r="D37" s="13">
        <f>80</f>
        <v>80</v>
      </c>
      <c r="E37" s="13">
        <v>0</v>
      </c>
      <c r="F37" s="13">
        <v>0</v>
      </c>
      <c r="G37" s="88">
        <f t="shared" si="0"/>
        <v>80</v>
      </c>
    </row>
    <row r="38" spans="1:8" ht="17.350000000000001" customHeight="1" thickBot="1" x14ac:dyDescent="0.3">
      <c r="A38" s="110" t="s">
        <v>347</v>
      </c>
      <c r="B38" s="66"/>
      <c r="C38" s="21">
        <v>8374</v>
      </c>
      <c r="D38" s="21">
        <f>-125-160-110</f>
        <v>-395</v>
      </c>
      <c r="E38" s="21">
        <v>200</v>
      </c>
      <c r="F38" s="21">
        <f>-80-120</f>
        <v>-200</v>
      </c>
      <c r="G38" s="98">
        <f t="shared" si="0"/>
        <v>7979</v>
      </c>
    </row>
    <row r="39" spans="1:8" ht="12.75" customHeight="1" thickBot="1" x14ac:dyDescent="0.3">
      <c r="A39" s="74" t="s">
        <v>26</v>
      </c>
      <c r="B39" s="39"/>
      <c r="C39" s="35">
        <f>SUM(C41:C43)</f>
        <v>361210</v>
      </c>
      <c r="D39" s="35">
        <f>SUM(D41:D43)</f>
        <v>0</v>
      </c>
      <c r="E39" s="35">
        <f>SUM(E41:E43)</f>
        <v>0</v>
      </c>
      <c r="F39" s="35">
        <f>SUM(F41:F43)</f>
        <v>-33.450000000000003</v>
      </c>
      <c r="G39" s="142">
        <f t="shared" si="0"/>
        <v>361176.55</v>
      </c>
      <c r="H39" s="77"/>
    </row>
    <row r="40" spans="1:8" ht="14.3" customHeight="1" x14ac:dyDescent="0.25">
      <c r="A40" s="36" t="s">
        <v>25</v>
      </c>
      <c r="B40" s="40"/>
      <c r="C40" s="10"/>
      <c r="D40" s="10"/>
      <c r="E40" s="10"/>
      <c r="F40" s="10"/>
      <c r="G40" s="83"/>
    </row>
    <row r="41" spans="1:8" ht="14.95" customHeight="1" x14ac:dyDescent="0.25">
      <c r="A41" s="41" t="s">
        <v>27</v>
      </c>
      <c r="B41" s="42"/>
      <c r="C41" s="10">
        <v>700</v>
      </c>
      <c r="D41" s="13">
        <v>0</v>
      </c>
      <c r="E41" s="13">
        <v>0</v>
      </c>
      <c r="F41" s="13">
        <f>26.45</f>
        <v>26.45</v>
      </c>
      <c r="G41" s="83">
        <f t="shared" si="0"/>
        <v>726.45</v>
      </c>
    </row>
    <row r="42" spans="1:8" ht="14.95" customHeight="1" x14ac:dyDescent="0.25">
      <c r="A42" s="41" t="s">
        <v>28</v>
      </c>
      <c r="B42" s="42"/>
      <c r="C42" s="10">
        <v>14142</v>
      </c>
      <c r="D42" s="13">
        <v>0</v>
      </c>
      <c r="E42" s="13">
        <v>0</v>
      </c>
      <c r="F42" s="13">
        <v>0</v>
      </c>
      <c r="G42" s="83">
        <f t="shared" si="0"/>
        <v>14142</v>
      </c>
    </row>
    <row r="43" spans="1:8" ht="14.95" customHeight="1" thickBot="1" x14ac:dyDescent="0.3">
      <c r="A43" s="37" t="s">
        <v>29</v>
      </c>
      <c r="B43" s="38"/>
      <c r="C43" s="21">
        <v>346368</v>
      </c>
      <c r="D43" s="16">
        <v>0</v>
      </c>
      <c r="E43" s="16">
        <v>0</v>
      </c>
      <c r="F43" s="16">
        <f>-59.9</f>
        <v>-59.9</v>
      </c>
      <c r="G43" s="98">
        <f t="shared" si="0"/>
        <v>346308.1</v>
      </c>
    </row>
    <row r="44" spans="1:8" ht="14.3" customHeight="1" thickBot="1" x14ac:dyDescent="0.3">
      <c r="A44" s="33" t="s">
        <v>30</v>
      </c>
      <c r="B44" s="43"/>
      <c r="C44" s="35">
        <f>SUM(C46:C51)</f>
        <v>52366</v>
      </c>
      <c r="D44" s="35">
        <f>SUM(D46:D51)</f>
        <v>483.3</v>
      </c>
      <c r="E44" s="35">
        <f>SUM(E46:E51)</f>
        <v>19763.5</v>
      </c>
      <c r="F44" s="35">
        <f>SUM(F46:F51)</f>
        <v>0</v>
      </c>
      <c r="G44" s="142">
        <f t="shared" si="0"/>
        <v>72612.800000000003</v>
      </c>
      <c r="H44" s="77"/>
    </row>
    <row r="45" spans="1:8" ht="12.75" customHeight="1" x14ac:dyDescent="0.25">
      <c r="A45" s="36" t="s">
        <v>25</v>
      </c>
      <c r="B45" s="40"/>
      <c r="C45" s="10"/>
      <c r="D45" s="10"/>
      <c r="E45" s="10"/>
      <c r="F45" s="10"/>
      <c r="G45" s="83"/>
    </row>
    <row r="46" spans="1:8" ht="17.350000000000001" customHeight="1" x14ac:dyDescent="0.25">
      <c r="A46" s="26" t="s">
        <v>31</v>
      </c>
      <c r="B46" s="44"/>
      <c r="C46" s="10">
        <v>0</v>
      </c>
      <c r="D46" s="13">
        <f>25</f>
        <v>25</v>
      </c>
      <c r="E46" s="13">
        <v>0</v>
      </c>
      <c r="F46" s="13">
        <v>0</v>
      </c>
      <c r="G46" s="83">
        <f t="shared" si="0"/>
        <v>25</v>
      </c>
    </row>
    <row r="47" spans="1:8" ht="14.95" customHeight="1" x14ac:dyDescent="0.25">
      <c r="A47" s="41" t="s">
        <v>32</v>
      </c>
      <c r="B47" s="46" t="s">
        <v>230</v>
      </c>
      <c r="C47" s="10">
        <v>16000</v>
      </c>
      <c r="D47" s="13">
        <v>0</v>
      </c>
      <c r="E47" s="13">
        <v>0</v>
      </c>
      <c r="F47" s="13">
        <v>0</v>
      </c>
      <c r="G47" s="83">
        <f t="shared" si="0"/>
        <v>16000</v>
      </c>
    </row>
    <row r="48" spans="1:8" ht="14.95" customHeight="1" x14ac:dyDescent="0.25">
      <c r="A48" s="41" t="s">
        <v>34</v>
      </c>
      <c r="B48" s="42"/>
      <c r="C48" s="10">
        <v>5000</v>
      </c>
      <c r="D48" s="13">
        <v>0</v>
      </c>
      <c r="E48" s="13">
        <v>0</v>
      </c>
      <c r="F48" s="13">
        <v>0</v>
      </c>
      <c r="G48" s="83">
        <f t="shared" si="0"/>
        <v>5000</v>
      </c>
    </row>
    <row r="49" spans="1:8" ht="14.95" customHeight="1" x14ac:dyDescent="0.25">
      <c r="A49" s="41" t="s">
        <v>35</v>
      </c>
      <c r="B49" s="42"/>
      <c r="C49" s="10">
        <v>200</v>
      </c>
      <c r="D49" s="13">
        <v>0</v>
      </c>
      <c r="E49" s="13">
        <v>0</v>
      </c>
      <c r="F49" s="13">
        <v>0</v>
      </c>
      <c r="G49" s="83">
        <f t="shared" si="0"/>
        <v>200</v>
      </c>
    </row>
    <row r="50" spans="1:8" ht="14.95" customHeight="1" x14ac:dyDescent="0.25">
      <c r="A50" s="41" t="s">
        <v>36</v>
      </c>
      <c r="B50" s="42"/>
      <c r="C50" s="10">
        <v>1000</v>
      </c>
      <c r="D50" s="13">
        <v>0</v>
      </c>
      <c r="E50" s="13">
        <v>0</v>
      </c>
      <c r="F50" s="13">
        <v>0</v>
      </c>
      <c r="G50" s="83">
        <f t="shared" si="0"/>
        <v>1000</v>
      </c>
    </row>
    <row r="51" spans="1:8" ht="15.8" customHeight="1" thickBot="1" x14ac:dyDescent="0.3">
      <c r="A51" s="37" t="s">
        <v>37</v>
      </c>
      <c r="B51" s="38"/>
      <c r="C51" s="21">
        <v>30166</v>
      </c>
      <c r="D51" s="16">
        <f>458.3</f>
        <v>458.3</v>
      </c>
      <c r="E51" s="16">
        <v>19763.5</v>
      </c>
      <c r="F51" s="16">
        <v>0</v>
      </c>
      <c r="G51" s="98">
        <f t="shared" si="0"/>
        <v>50387.8</v>
      </c>
    </row>
    <row r="52" spans="1:8" ht="14.3" customHeight="1" thickBot="1" x14ac:dyDescent="0.3">
      <c r="A52" s="33" t="s">
        <v>38</v>
      </c>
      <c r="B52" s="39"/>
      <c r="C52" s="35">
        <f>SUM(C54:C55)</f>
        <v>148159.5</v>
      </c>
      <c r="D52" s="35">
        <f>SUM(D54:D55)</f>
        <v>-5092.71</v>
      </c>
      <c r="E52" s="35">
        <f>SUM(E54:E55)</f>
        <v>16468.73</v>
      </c>
      <c r="F52" s="35">
        <f>SUM(F54:F55)</f>
        <v>-2201.85</v>
      </c>
      <c r="G52" s="142">
        <f t="shared" si="0"/>
        <v>157333.67000000001</v>
      </c>
      <c r="H52" s="77"/>
    </row>
    <row r="53" spans="1:8" ht="12.75" customHeight="1" x14ac:dyDescent="0.25">
      <c r="A53" s="36" t="s">
        <v>25</v>
      </c>
      <c r="B53" s="40"/>
      <c r="C53" s="10"/>
      <c r="D53" s="10"/>
      <c r="E53" s="10"/>
      <c r="F53" s="10"/>
      <c r="G53" s="83"/>
    </row>
    <row r="54" spans="1:8" ht="14.95" customHeight="1" x14ac:dyDescent="0.25">
      <c r="A54" s="41" t="s">
        <v>27</v>
      </c>
      <c r="B54" s="42"/>
      <c r="C54" s="10">
        <v>57641</v>
      </c>
      <c r="D54" s="13">
        <f>-4985-1126.39+167.01+1105.13</f>
        <v>-4839.25</v>
      </c>
      <c r="E54" s="13">
        <v>15448.15</v>
      </c>
      <c r="F54" s="13">
        <f>-1132.37-1069.48</f>
        <v>-2201.85</v>
      </c>
      <c r="G54" s="83">
        <f t="shared" si="0"/>
        <v>66048.049999999988</v>
      </c>
    </row>
    <row r="55" spans="1:8" ht="17.350000000000001" customHeight="1" thickBot="1" x14ac:dyDescent="0.3">
      <c r="A55" s="37" t="s">
        <v>39</v>
      </c>
      <c r="B55" s="38"/>
      <c r="C55" s="16">
        <v>90518.5</v>
      </c>
      <c r="D55" s="16">
        <f>-128-125.46</f>
        <v>-253.45999999999998</v>
      </c>
      <c r="E55" s="16">
        <v>1020.58</v>
      </c>
      <c r="F55" s="16">
        <v>0</v>
      </c>
      <c r="G55" s="144">
        <f t="shared" si="0"/>
        <v>91285.62</v>
      </c>
    </row>
    <row r="56" spans="1:8" ht="14.95" customHeight="1" thickBot="1" x14ac:dyDescent="0.3">
      <c r="A56" s="33" t="s">
        <v>40</v>
      </c>
      <c r="B56" s="43"/>
      <c r="C56" s="35">
        <f>SUM(C58:C60)</f>
        <v>1607.9</v>
      </c>
      <c r="D56" s="35">
        <f>SUM(D58:D60)</f>
        <v>0</v>
      </c>
      <c r="E56" s="35">
        <f>SUM(E58:E60)</f>
        <v>0</v>
      </c>
      <c r="F56" s="35">
        <f>SUM(F58:F60)</f>
        <v>0</v>
      </c>
      <c r="G56" s="142">
        <f t="shared" si="0"/>
        <v>1607.9</v>
      </c>
      <c r="H56" s="77"/>
    </row>
    <row r="57" spans="1:8" ht="14.95" customHeight="1" x14ac:dyDescent="0.25">
      <c r="A57" s="45" t="s">
        <v>25</v>
      </c>
      <c r="B57" s="40"/>
      <c r="C57" s="10"/>
      <c r="D57" s="10"/>
      <c r="E57" s="10"/>
      <c r="F57" s="10"/>
      <c r="G57" s="83"/>
    </row>
    <row r="58" spans="1:8" ht="18" customHeight="1" x14ac:dyDescent="0.25">
      <c r="A58" s="11" t="s">
        <v>41</v>
      </c>
      <c r="B58" s="46" t="s">
        <v>258</v>
      </c>
      <c r="C58" s="10">
        <v>20</v>
      </c>
      <c r="D58" s="13">
        <v>0</v>
      </c>
      <c r="E58" s="13">
        <v>0</v>
      </c>
      <c r="F58" s="13">
        <v>0</v>
      </c>
      <c r="G58" s="83">
        <f t="shared" si="0"/>
        <v>20</v>
      </c>
    </row>
    <row r="59" spans="1:8" ht="14.95" customHeight="1" x14ac:dyDescent="0.25">
      <c r="A59" s="47" t="s">
        <v>27</v>
      </c>
      <c r="B59" s="42"/>
      <c r="C59" s="10">
        <v>64.2</v>
      </c>
      <c r="D59" s="13">
        <v>0</v>
      </c>
      <c r="E59" s="13">
        <v>0</v>
      </c>
      <c r="F59" s="13">
        <v>0</v>
      </c>
      <c r="G59" s="83">
        <f t="shared" si="0"/>
        <v>64.2</v>
      </c>
    </row>
    <row r="60" spans="1:8" ht="14.3" customHeight="1" thickBot="1" x14ac:dyDescent="0.3">
      <c r="A60" s="48" t="s">
        <v>42</v>
      </c>
      <c r="B60" s="38"/>
      <c r="C60" s="16">
        <v>1523.7</v>
      </c>
      <c r="D60" s="16">
        <v>0</v>
      </c>
      <c r="E60" s="16">
        <v>0</v>
      </c>
      <c r="F60" s="16">
        <v>0</v>
      </c>
      <c r="G60" s="98">
        <f t="shared" si="0"/>
        <v>1523.7</v>
      </c>
    </row>
    <row r="61" spans="1:8" ht="14.3" customHeight="1" thickBot="1" x14ac:dyDescent="0.3">
      <c r="A61" s="49" t="s">
        <v>43</v>
      </c>
      <c r="B61" s="129"/>
      <c r="C61" s="35">
        <f>SUM(C63:C179)</f>
        <v>280121.5</v>
      </c>
      <c r="D61" s="35">
        <f>SUM(D63:D179)</f>
        <v>4437.67</v>
      </c>
      <c r="E61" s="35">
        <f>SUM(E63:E179)</f>
        <v>5712.7500000000009</v>
      </c>
      <c r="F61" s="35">
        <f>SUM(F63:F179)</f>
        <v>15215.119999999999</v>
      </c>
      <c r="G61" s="142">
        <f t="shared" si="0"/>
        <v>305487.03999999998</v>
      </c>
      <c r="H61" s="77"/>
    </row>
    <row r="62" spans="1:8" ht="12.75" customHeight="1" x14ac:dyDescent="0.25">
      <c r="A62" s="50" t="s">
        <v>25</v>
      </c>
      <c r="B62" s="40"/>
      <c r="C62" s="145"/>
      <c r="D62" s="10"/>
      <c r="E62" s="10"/>
      <c r="F62" s="10"/>
      <c r="G62" s="83"/>
    </row>
    <row r="63" spans="1:8" ht="14.95" customHeight="1" x14ac:dyDescent="0.25">
      <c r="A63" s="47" t="s">
        <v>27</v>
      </c>
      <c r="B63" s="46"/>
      <c r="C63" s="10">
        <v>4050</v>
      </c>
      <c r="D63" s="13">
        <f>-120</f>
        <v>-120</v>
      </c>
      <c r="E63" s="13">
        <v>1500</v>
      </c>
      <c r="F63" s="13">
        <f>-70-150</f>
        <v>-220</v>
      </c>
      <c r="G63" s="83">
        <f>SUM(C63:F63)</f>
        <v>5210</v>
      </c>
    </row>
    <row r="64" spans="1:8" ht="27" customHeight="1" x14ac:dyDescent="0.25">
      <c r="A64" s="11" t="s">
        <v>44</v>
      </c>
      <c r="B64" s="46" t="s">
        <v>45</v>
      </c>
      <c r="C64" s="10">
        <v>7000</v>
      </c>
      <c r="D64" s="13">
        <v>0</v>
      </c>
      <c r="E64" s="13">
        <v>0</v>
      </c>
      <c r="F64" s="13">
        <v>0</v>
      </c>
      <c r="G64" s="83">
        <f t="shared" si="0"/>
        <v>7000</v>
      </c>
    </row>
    <row r="65" spans="1:7" ht="24.8" customHeight="1" x14ac:dyDescent="0.25">
      <c r="A65" s="11" t="s">
        <v>231</v>
      </c>
      <c r="B65" s="46" t="s">
        <v>46</v>
      </c>
      <c r="C65" s="10">
        <v>50000</v>
      </c>
      <c r="D65" s="81">
        <v>0</v>
      </c>
      <c r="E65" s="81">
        <v>0</v>
      </c>
      <c r="F65" s="81">
        <v>0</v>
      </c>
      <c r="G65" s="83">
        <f t="shared" si="0"/>
        <v>50000</v>
      </c>
    </row>
    <row r="66" spans="1:7" ht="24.8" customHeight="1" x14ac:dyDescent="0.25">
      <c r="A66" s="11" t="s">
        <v>232</v>
      </c>
      <c r="B66" s="46" t="s">
        <v>47</v>
      </c>
      <c r="C66" s="10">
        <v>900</v>
      </c>
      <c r="D66" s="13">
        <v>0</v>
      </c>
      <c r="E66" s="13">
        <v>0</v>
      </c>
      <c r="F66" s="13">
        <v>0</v>
      </c>
      <c r="G66" s="83">
        <f t="shared" si="0"/>
        <v>900</v>
      </c>
    </row>
    <row r="67" spans="1:7" ht="25.5" customHeight="1" x14ac:dyDescent="0.25">
      <c r="A67" s="11" t="s">
        <v>304</v>
      </c>
      <c r="B67" s="46" t="s">
        <v>249</v>
      </c>
      <c r="C67" s="10">
        <v>0</v>
      </c>
      <c r="D67" s="13">
        <f>120</f>
        <v>120</v>
      </c>
      <c r="E67" s="13">
        <v>0</v>
      </c>
      <c r="F67" s="13">
        <v>0</v>
      </c>
      <c r="G67" s="83">
        <f t="shared" si="0"/>
        <v>120</v>
      </c>
    </row>
    <row r="68" spans="1:7" ht="14.95" customHeight="1" x14ac:dyDescent="0.25">
      <c r="A68" s="47" t="s">
        <v>48</v>
      </c>
      <c r="B68" s="46" t="s">
        <v>230</v>
      </c>
      <c r="C68" s="10">
        <v>3592</v>
      </c>
      <c r="D68" s="13">
        <v>0</v>
      </c>
      <c r="E68" s="13">
        <v>70</v>
      </c>
      <c r="F68" s="13">
        <v>0</v>
      </c>
      <c r="G68" s="83">
        <f t="shared" si="0"/>
        <v>3662</v>
      </c>
    </row>
    <row r="69" spans="1:7" ht="14.95" customHeight="1" x14ac:dyDescent="0.25">
      <c r="A69" s="47" t="s">
        <v>361</v>
      </c>
      <c r="B69" s="46" t="s">
        <v>330</v>
      </c>
      <c r="C69" s="10">
        <v>0</v>
      </c>
      <c r="D69" s="13">
        <v>0</v>
      </c>
      <c r="E69" s="13">
        <v>0</v>
      </c>
      <c r="F69" s="13">
        <f>86.63</f>
        <v>86.63</v>
      </c>
      <c r="G69" s="83">
        <f>SUM(C69:F69)</f>
        <v>86.63</v>
      </c>
    </row>
    <row r="70" spans="1:7" ht="14.95" customHeight="1" x14ac:dyDescent="0.25">
      <c r="A70" s="47" t="s">
        <v>362</v>
      </c>
      <c r="B70" s="46" t="s">
        <v>330</v>
      </c>
      <c r="C70" s="10">
        <v>0</v>
      </c>
      <c r="D70" s="13">
        <v>0</v>
      </c>
      <c r="E70" s="13">
        <v>0</v>
      </c>
      <c r="F70" s="13">
        <f>9.63</f>
        <v>9.6300000000000008</v>
      </c>
      <c r="G70" s="83">
        <f>SUM(C70:F70)</f>
        <v>9.6300000000000008</v>
      </c>
    </row>
    <row r="71" spans="1:7" ht="14.95" customHeight="1" x14ac:dyDescent="0.25">
      <c r="A71" s="47" t="s">
        <v>317</v>
      </c>
      <c r="B71" s="46" t="s">
        <v>318</v>
      </c>
      <c r="C71" s="10">
        <v>0</v>
      </c>
      <c r="D71" s="13">
        <v>0</v>
      </c>
      <c r="E71" s="13">
        <v>0</v>
      </c>
      <c r="F71" s="13">
        <f>556.17</f>
        <v>556.16999999999996</v>
      </c>
      <c r="G71" s="83">
        <f>SUM(C71:F71)</f>
        <v>556.16999999999996</v>
      </c>
    </row>
    <row r="72" spans="1:7" ht="14.95" customHeight="1" x14ac:dyDescent="0.25">
      <c r="A72" s="47" t="s">
        <v>49</v>
      </c>
      <c r="B72" s="46" t="s">
        <v>230</v>
      </c>
      <c r="C72" s="10">
        <v>4559</v>
      </c>
      <c r="D72" s="13">
        <v>0</v>
      </c>
      <c r="E72" s="13">
        <v>287</v>
      </c>
      <c r="F72" s="13">
        <v>0</v>
      </c>
      <c r="G72" s="83">
        <f t="shared" si="0"/>
        <v>4846</v>
      </c>
    </row>
    <row r="73" spans="1:7" ht="14.95" customHeight="1" x14ac:dyDescent="0.25">
      <c r="A73" s="47" t="s">
        <v>354</v>
      </c>
      <c r="B73" s="46" t="s">
        <v>330</v>
      </c>
      <c r="C73" s="10">
        <v>0</v>
      </c>
      <c r="D73" s="13">
        <v>0</v>
      </c>
      <c r="E73" s="13">
        <v>0</v>
      </c>
      <c r="F73" s="13">
        <f>86.63</f>
        <v>86.63</v>
      </c>
      <c r="G73" s="83">
        <f>SUM(C73:F73)</f>
        <v>86.63</v>
      </c>
    </row>
    <row r="74" spans="1:7" ht="14.95" customHeight="1" x14ac:dyDescent="0.25">
      <c r="A74" s="47" t="s">
        <v>355</v>
      </c>
      <c r="B74" s="46" t="s">
        <v>330</v>
      </c>
      <c r="C74" s="10">
        <v>0</v>
      </c>
      <c r="D74" s="13">
        <v>0</v>
      </c>
      <c r="E74" s="13">
        <v>0</v>
      </c>
      <c r="F74" s="13">
        <f>9.63</f>
        <v>9.6300000000000008</v>
      </c>
      <c r="G74" s="83">
        <f>SUM(C74:F74)</f>
        <v>9.6300000000000008</v>
      </c>
    </row>
    <row r="75" spans="1:7" ht="14.95" customHeight="1" x14ac:dyDescent="0.25">
      <c r="A75" s="47" t="s">
        <v>307</v>
      </c>
      <c r="B75" s="46" t="s">
        <v>308</v>
      </c>
      <c r="C75" s="10">
        <v>0</v>
      </c>
      <c r="D75" s="13">
        <f>755.89</f>
        <v>755.89</v>
      </c>
      <c r="E75" s="13">
        <v>0</v>
      </c>
      <c r="F75" s="13">
        <v>0</v>
      </c>
      <c r="G75" s="83">
        <f t="shared" si="0"/>
        <v>755.89</v>
      </c>
    </row>
    <row r="76" spans="1:7" ht="15.8" customHeight="1" x14ac:dyDescent="0.25">
      <c r="A76" s="11" t="s">
        <v>50</v>
      </c>
      <c r="B76" s="46" t="s">
        <v>230</v>
      </c>
      <c r="C76" s="10">
        <v>1725</v>
      </c>
      <c r="D76" s="13">
        <v>0</v>
      </c>
      <c r="E76" s="13">
        <v>40</v>
      </c>
      <c r="F76" s="13">
        <v>0</v>
      </c>
      <c r="G76" s="83">
        <f t="shared" si="0"/>
        <v>1765</v>
      </c>
    </row>
    <row r="77" spans="1:7" ht="23.3" customHeight="1" x14ac:dyDescent="0.25">
      <c r="A77" s="11" t="s">
        <v>356</v>
      </c>
      <c r="B77" s="46" t="s">
        <v>330</v>
      </c>
      <c r="C77" s="10">
        <v>0</v>
      </c>
      <c r="D77" s="13">
        <v>0</v>
      </c>
      <c r="E77" s="13">
        <v>0</v>
      </c>
      <c r="F77" s="13">
        <f>11.56</f>
        <v>11.56</v>
      </c>
      <c r="G77" s="83">
        <f>SUM(C77:F77)</f>
        <v>11.56</v>
      </c>
    </row>
    <row r="78" spans="1:7" ht="23.3" customHeight="1" x14ac:dyDescent="0.25">
      <c r="A78" s="11" t="s">
        <v>360</v>
      </c>
      <c r="B78" s="46" t="s">
        <v>330</v>
      </c>
      <c r="C78" s="10">
        <v>0</v>
      </c>
      <c r="D78" s="13">
        <v>0</v>
      </c>
      <c r="E78" s="13">
        <v>0</v>
      </c>
      <c r="F78" s="13">
        <f>1.29</f>
        <v>1.29</v>
      </c>
      <c r="G78" s="83">
        <f>SUM(C78:F78)</f>
        <v>1.29</v>
      </c>
    </row>
    <row r="79" spans="1:7" ht="14.95" customHeight="1" x14ac:dyDescent="0.25">
      <c r="A79" s="11" t="s">
        <v>51</v>
      </c>
      <c r="B79" s="46" t="s">
        <v>230</v>
      </c>
      <c r="C79" s="10">
        <v>4913</v>
      </c>
      <c r="D79" s="13">
        <v>0</v>
      </c>
      <c r="E79" s="13">
        <v>155</v>
      </c>
      <c r="F79" s="13">
        <v>0</v>
      </c>
      <c r="G79" s="83">
        <f t="shared" si="0"/>
        <v>5068</v>
      </c>
    </row>
    <row r="80" spans="1:7" ht="14.95" customHeight="1" x14ac:dyDescent="0.25">
      <c r="A80" s="11" t="s">
        <v>326</v>
      </c>
      <c r="B80" s="46" t="s">
        <v>327</v>
      </c>
      <c r="C80" s="10">
        <v>0</v>
      </c>
      <c r="D80" s="13">
        <v>0</v>
      </c>
      <c r="E80" s="13">
        <v>0</v>
      </c>
      <c r="F80" s="13">
        <f>172.98</f>
        <v>172.98</v>
      </c>
      <c r="G80" s="83">
        <f>SUM(C80:F80)</f>
        <v>172.98</v>
      </c>
    </row>
    <row r="81" spans="1:7" ht="14.95" customHeight="1" x14ac:dyDescent="0.25">
      <c r="A81" s="11" t="s">
        <v>328</v>
      </c>
      <c r="B81" s="46" t="s">
        <v>327</v>
      </c>
      <c r="C81" s="10">
        <v>0</v>
      </c>
      <c r="D81" s="13">
        <v>0</v>
      </c>
      <c r="E81" s="13">
        <v>0</v>
      </c>
      <c r="F81" s="13">
        <f>19.22</f>
        <v>19.22</v>
      </c>
      <c r="G81" s="83">
        <f>SUM(C81:F81)</f>
        <v>19.22</v>
      </c>
    </row>
    <row r="82" spans="1:7" ht="14.95" customHeight="1" x14ac:dyDescent="0.25">
      <c r="A82" s="11" t="s">
        <v>323</v>
      </c>
      <c r="B82" s="46" t="s">
        <v>324</v>
      </c>
      <c r="C82" s="10">
        <v>0</v>
      </c>
      <c r="D82" s="13">
        <v>0</v>
      </c>
      <c r="E82" s="13">
        <v>0</v>
      </c>
      <c r="F82" s="13">
        <f>601.76</f>
        <v>601.76</v>
      </c>
      <c r="G82" s="83">
        <f>SUM(C82:F82)</f>
        <v>601.76</v>
      </c>
    </row>
    <row r="83" spans="1:7" ht="14.95" customHeight="1" x14ac:dyDescent="0.25">
      <c r="A83" s="47" t="s">
        <v>52</v>
      </c>
      <c r="B83" s="46" t="s">
        <v>230</v>
      </c>
      <c r="C83" s="10">
        <v>4028</v>
      </c>
      <c r="D83" s="13">
        <v>0</v>
      </c>
      <c r="E83" s="13">
        <v>115</v>
      </c>
      <c r="F83" s="13">
        <v>0</v>
      </c>
      <c r="G83" s="83">
        <f t="shared" si="0"/>
        <v>4143</v>
      </c>
    </row>
    <row r="84" spans="1:7" ht="14.95" customHeight="1" x14ac:dyDescent="0.25">
      <c r="A84" s="47" t="s">
        <v>336</v>
      </c>
      <c r="B84" s="46" t="s">
        <v>330</v>
      </c>
      <c r="C84" s="10">
        <v>0</v>
      </c>
      <c r="D84" s="13">
        <v>0</v>
      </c>
      <c r="E84" s="13">
        <v>0</v>
      </c>
      <c r="F84" s="13">
        <f>86.63</f>
        <v>86.63</v>
      </c>
      <c r="G84" s="83">
        <f>SUM(C84:F84)</f>
        <v>86.63</v>
      </c>
    </row>
    <row r="85" spans="1:7" ht="14.95" customHeight="1" x14ac:dyDescent="0.25">
      <c r="A85" s="47" t="s">
        <v>337</v>
      </c>
      <c r="B85" s="46" t="s">
        <v>330</v>
      </c>
      <c r="C85" s="10">
        <v>0</v>
      </c>
      <c r="D85" s="13">
        <v>0</v>
      </c>
      <c r="E85" s="13">
        <v>0</v>
      </c>
      <c r="F85" s="13">
        <f>9.63</f>
        <v>9.6300000000000008</v>
      </c>
      <c r="G85" s="83">
        <f>SUM(C85:F85)</f>
        <v>9.6300000000000008</v>
      </c>
    </row>
    <row r="86" spans="1:7" ht="14.95" customHeight="1" x14ac:dyDescent="0.25">
      <c r="A86" s="47" t="s">
        <v>319</v>
      </c>
      <c r="B86" s="46" t="s">
        <v>306</v>
      </c>
      <c r="C86" s="10">
        <v>0</v>
      </c>
      <c r="D86" s="13">
        <v>0</v>
      </c>
      <c r="E86" s="13">
        <v>0</v>
      </c>
      <c r="F86" s="13">
        <f>603.59</f>
        <v>603.59</v>
      </c>
      <c r="G86" s="83">
        <f>SUM(C86:F86)</f>
        <v>603.59</v>
      </c>
    </row>
    <row r="87" spans="1:7" ht="14.95" customHeight="1" x14ac:dyDescent="0.25">
      <c r="A87" s="47" t="s">
        <v>53</v>
      </c>
      <c r="B87" s="46" t="s">
        <v>230</v>
      </c>
      <c r="C87" s="10">
        <v>420</v>
      </c>
      <c r="D87" s="13">
        <v>0</v>
      </c>
      <c r="E87" s="13">
        <v>40</v>
      </c>
      <c r="F87" s="13">
        <v>0</v>
      </c>
      <c r="G87" s="83">
        <f t="shared" ref="G87:G169" si="1">SUM(C87:F87)</f>
        <v>460</v>
      </c>
    </row>
    <row r="88" spans="1:7" ht="14.95" customHeight="1" x14ac:dyDescent="0.25">
      <c r="A88" s="47" t="s">
        <v>305</v>
      </c>
      <c r="B88" s="46" t="s">
        <v>306</v>
      </c>
      <c r="C88" s="10">
        <v>0</v>
      </c>
      <c r="D88" s="13">
        <f>706.68</f>
        <v>706.68</v>
      </c>
      <c r="E88" s="13">
        <v>0</v>
      </c>
      <c r="F88" s="13">
        <f>-706.68</f>
        <v>-706.68</v>
      </c>
      <c r="G88" s="83">
        <f t="shared" si="1"/>
        <v>0</v>
      </c>
    </row>
    <row r="89" spans="1:7" ht="14.95" customHeight="1" x14ac:dyDescent="0.25">
      <c r="A89" s="47" t="s">
        <v>338</v>
      </c>
      <c r="B89" s="46" t="s">
        <v>306</v>
      </c>
      <c r="C89" s="10">
        <v>0</v>
      </c>
      <c r="D89" s="13">
        <v>0</v>
      </c>
      <c r="E89" s="13">
        <v>0</v>
      </c>
      <c r="F89" s="13">
        <f>304.01</f>
        <v>304.01</v>
      </c>
      <c r="G89" s="83">
        <f>SUM(C89:F89)</f>
        <v>304.01</v>
      </c>
    </row>
    <row r="90" spans="1:7" ht="14.95" customHeight="1" x14ac:dyDescent="0.25">
      <c r="A90" s="47" t="s">
        <v>54</v>
      </c>
      <c r="B90" s="46" t="s">
        <v>230</v>
      </c>
      <c r="C90" s="13">
        <v>343</v>
      </c>
      <c r="D90" s="13">
        <v>0</v>
      </c>
      <c r="E90" s="13">
        <v>40</v>
      </c>
      <c r="F90" s="13">
        <v>0</v>
      </c>
      <c r="G90" s="83">
        <f t="shared" si="1"/>
        <v>383</v>
      </c>
    </row>
    <row r="91" spans="1:7" ht="14.95" customHeight="1" x14ac:dyDescent="0.25">
      <c r="A91" s="47" t="s">
        <v>55</v>
      </c>
      <c r="B91" s="46" t="s">
        <v>230</v>
      </c>
      <c r="C91" s="10">
        <v>4253</v>
      </c>
      <c r="D91" s="13">
        <v>0</v>
      </c>
      <c r="E91" s="13">
        <v>392</v>
      </c>
      <c r="F91" s="13">
        <v>0</v>
      </c>
      <c r="G91" s="83">
        <f t="shared" si="1"/>
        <v>4645</v>
      </c>
    </row>
    <row r="92" spans="1:7" ht="14.95" customHeight="1" x14ac:dyDescent="0.25">
      <c r="A92" s="47" t="s">
        <v>329</v>
      </c>
      <c r="B92" s="46" t="s">
        <v>330</v>
      </c>
      <c r="C92" s="10">
        <v>0</v>
      </c>
      <c r="D92" s="13">
        <v>0</v>
      </c>
      <c r="E92" s="13">
        <v>0</v>
      </c>
      <c r="F92" s="13">
        <f>144.39</f>
        <v>144.38999999999999</v>
      </c>
      <c r="G92" s="83">
        <f>SUM(C92:F92)</f>
        <v>144.38999999999999</v>
      </c>
    </row>
    <row r="93" spans="1:7" ht="14.95" customHeight="1" x14ac:dyDescent="0.25">
      <c r="A93" s="47" t="s">
        <v>331</v>
      </c>
      <c r="B93" s="46" t="s">
        <v>330</v>
      </c>
      <c r="C93" s="10">
        <v>0</v>
      </c>
      <c r="D93" s="13">
        <v>0</v>
      </c>
      <c r="E93" s="13">
        <v>0</v>
      </c>
      <c r="F93" s="13">
        <f>16.05</f>
        <v>16.05</v>
      </c>
      <c r="G93" s="83">
        <f>SUM(C93:F93)</f>
        <v>16.05</v>
      </c>
    </row>
    <row r="94" spans="1:7" ht="14.95" customHeight="1" x14ac:dyDescent="0.25">
      <c r="A94" s="47" t="s">
        <v>56</v>
      </c>
      <c r="B94" s="46" t="s">
        <v>230</v>
      </c>
      <c r="C94" s="10">
        <v>385</v>
      </c>
      <c r="D94" s="13">
        <v>0</v>
      </c>
      <c r="E94" s="13">
        <v>40</v>
      </c>
      <c r="F94" s="13">
        <v>0</v>
      </c>
      <c r="G94" s="83">
        <f t="shared" si="1"/>
        <v>425</v>
      </c>
    </row>
    <row r="95" spans="1:7" ht="14.95" customHeight="1" x14ac:dyDescent="0.25">
      <c r="A95" s="47" t="s">
        <v>57</v>
      </c>
      <c r="B95" s="46" t="s">
        <v>230</v>
      </c>
      <c r="C95" s="10">
        <v>3698</v>
      </c>
      <c r="D95" s="13">
        <v>0</v>
      </c>
      <c r="E95" s="13">
        <v>72</v>
      </c>
      <c r="F95" s="13">
        <v>0</v>
      </c>
      <c r="G95" s="83">
        <f t="shared" si="1"/>
        <v>3770</v>
      </c>
    </row>
    <row r="96" spans="1:7" ht="14.95" customHeight="1" x14ac:dyDescent="0.25">
      <c r="A96" s="47" t="s">
        <v>332</v>
      </c>
      <c r="B96" s="46" t="s">
        <v>330</v>
      </c>
      <c r="C96" s="10">
        <v>0</v>
      </c>
      <c r="D96" s="13">
        <v>0</v>
      </c>
      <c r="E96" s="13">
        <v>0</v>
      </c>
      <c r="F96" s="13">
        <f>202.14</f>
        <v>202.14</v>
      </c>
      <c r="G96" s="83">
        <f>SUM(C96:F96)</f>
        <v>202.14</v>
      </c>
    </row>
    <row r="97" spans="1:7" ht="14.95" customHeight="1" x14ac:dyDescent="0.25">
      <c r="A97" s="47" t="s">
        <v>333</v>
      </c>
      <c r="B97" s="46" t="s">
        <v>330</v>
      </c>
      <c r="C97" s="10">
        <v>0</v>
      </c>
      <c r="D97" s="13">
        <v>0</v>
      </c>
      <c r="E97" s="13">
        <v>0</v>
      </c>
      <c r="F97" s="13">
        <f>22.46</f>
        <v>22.46</v>
      </c>
      <c r="G97" s="83">
        <f>SUM(C97:F97)</f>
        <v>22.46</v>
      </c>
    </row>
    <row r="98" spans="1:7" ht="14.95" customHeight="1" x14ac:dyDescent="0.25">
      <c r="A98" s="47" t="s">
        <v>316</v>
      </c>
      <c r="B98" s="46" t="s">
        <v>308</v>
      </c>
      <c r="C98" s="10">
        <v>0</v>
      </c>
      <c r="D98" s="13">
        <v>0</v>
      </c>
      <c r="E98" s="13">
        <v>0</v>
      </c>
      <c r="F98" s="13">
        <f>653.56</f>
        <v>653.55999999999995</v>
      </c>
      <c r="G98" s="83">
        <f>SUM(C98:F98)</f>
        <v>653.55999999999995</v>
      </c>
    </row>
    <row r="99" spans="1:7" ht="14.95" customHeight="1" x14ac:dyDescent="0.25">
      <c r="A99" s="47" t="s">
        <v>58</v>
      </c>
      <c r="B99" s="46" t="s">
        <v>230</v>
      </c>
      <c r="C99" s="10">
        <v>4194</v>
      </c>
      <c r="D99" s="13">
        <v>0</v>
      </c>
      <c r="E99" s="13">
        <v>105</v>
      </c>
      <c r="F99" s="13">
        <v>0</v>
      </c>
      <c r="G99" s="83">
        <f t="shared" si="1"/>
        <v>4299</v>
      </c>
    </row>
    <row r="100" spans="1:7" ht="14.95" customHeight="1" x14ac:dyDescent="0.25">
      <c r="A100" s="47" t="s">
        <v>320</v>
      </c>
      <c r="B100" s="46" t="s">
        <v>306</v>
      </c>
      <c r="C100" s="10">
        <v>0</v>
      </c>
      <c r="D100" s="13">
        <v>0</v>
      </c>
      <c r="E100" s="13">
        <v>0</v>
      </c>
      <c r="F100" s="13">
        <f>554.24</f>
        <v>554.24</v>
      </c>
      <c r="G100" s="83">
        <f>SUM(C100:F100)</f>
        <v>554.24</v>
      </c>
    </row>
    <row r="101" spans="1:7" ht="29.25" customHeight="1" x14ac:dyDescent="0.25">
      <c r="A101" s="11" t="s">
        <v>278</v>
      </c>
      <c r="B101" s="46" t="s">
        <v>230</v>
      </c>
      <c r="C101" s="10">
        <v>0</v>
      </c>
      <c r="D101" s="13">
        <v>0</v>
      </c>
      <c r="E101" s="13">
        <v>53.41</v>
      </c>
      <c r="F101" s="13">
        <v>0</v>
      </c>
      <c r="G101" s="83">
        <f t="shared" si="1"/>
        <v>53.41</v>
      </c>
    </row>
    <row r="102" spans="1:7" ht="16.5" customHeight="1" x14ac:dyDescent="0.25">
      <c r="A102" s="11" t="s">
        <v>59</v>
      </c>
      <c r="B102" s="46" t="s">
        <v>230</v>
      </c>
      <c r="C102" s="10">
        <v>9731</v>
      </c>
      <c r="D102" s="13">
        <v>0</v>
      </c>
      <c r="E102" s="13">
        <v>988</v>
      </c>
      <c r="F102" s="13">
        <v>0</v>
      </c>
      <c r="G102" s="83">
        <f t="shared" si="1"/>
        <v>10719</v>
      </c>
    </row>
    <row r="103" spans="1:7" ht="14.95" customHeight="1" x14ac:dyDescent="0.25">
      <c r="A103" s="11" t="s">
        <v>60</v>
      </c>
      <c r="B103" s="46" t="s">
        <v>230</v>
      </c>
      <c r="C103" s="10">
        <v>7539</v>
      </c>
      <c r="D103" s="13">
        <v>0</v>
      </c>
      <c r="E103" s="13">
        <v>206.1</v>
      </c>
      <c r="F103" s="13">
        <v>0</v>
      </c>
      <c r="G103" s="83">
        <f t="shared" si="1"/>
        <v>7745.1</v>
      </c>
    </row>
    <row r="104" spans="1:7" ht="14.95" customHeight="1" x14ac:dyDescent="0.25">
      <c r="A104" s="11" t="s">
        <v>321</v>
      </c>
      <c r="B104" s="46" t="s">
        <v>322</v>
      </c>
      <c r="C104" s="10">
        <v>0</v>
      </c>
      <c r="D104" s="13">
        <v>0</v>
      </c>
      <c r="E104" s="13">
        <v>0</v>
      </c>
      <c r="F104" s="13">
        <f>1060.09</f>
        <v>1060.0899999999999</v>
      </c>
      <c r="G104" s="83">
        <f>SUM(C104:F104)</f>
        <v>1060.0899999999999</v>
      </c>
    </row>
    <row r="105" spans="1:7" x14ac:dyDescent="0.25">
      <c r="A105" s="47" t="s">
        <v>61</v>
      </c>
      <c r="B105" s="46" t="s">
        <v>230</v>
      </c>
      <c r="C105" s="10">
        <v>2258</v>
      </c>
      <c r="D105" s="13">
        <v>0</v>
      </c>
      <c r="E105" s="13">
        <v>85.93</v>
      </c>
      <c r="F105" s="13">
        <v>0</v>
      </c>
      <c r="G105" s="83">
        <f t="shared" si="1"/>
        <v>2343.9299999999998</v>
      </c>
    </row>
    <row r="106" spans="1:7" x14ac:dyDescent="0.25">
      <c r="A106" s="47" t="s">
        <v>357</v>
      </c>
      <c r="B106" s="46" t="s">
        <v>330</v>
      </c>
      <c r="C106" s="10">
        <v>0</v>
      </c>
      <c r="D106" s="13">
        <v>0</v>
      </c>
      <c r="E106" s="13">
        <v>0</v>
      </c>
      <c r="F106" s="13">
        <f>15.65</f>
        <v>15.65</v>
      </c>
      <c r="G106" s="83">
        <f>SUM(C106:F106)</f>
        <v>15.65</v>
      </c>
    </row>
    <row r="107" spans="1:7" x14ac:dyDescent="0.25">
      <c r="A107" s="47" t="s">
        <v>358</v>
      </c>
      <c r="B107" s="46" t="s">
        <v>359</v>
      </c>
      <c r="C107" s="10">
        <v>0</v>
      </c>
      <c r="D107" s="13">
        <v>0</v>
      </c>
      <c r="E107" s="13">
        <v>0</v>
      </c>
      <c r="F107" s="13">
        <f>1.74</f>
        <v>1.74</v>
      </c>
      <c r="G107" s="83">
        <f>SUM(C107:F107)</f>
        <v>1.74</v>
      </c>
    </row>
    <row r="108" spans="1:7" x14ac:dyDescent="0.25">
      <c r="A108" s="47" t="s">
        <v>62</v>
      </c>
      <c r="B108" s="46" t="s">
        <v>230</v>
      </c>
      <c r="C108" s="10">
        <v>5699</v>
      </c>
      <c r="D108" s="13">
        <v>0</v>
      </c>
      <c r="E108" s="13">
        <v>164.77</v>
      </c>
      <c r="F108" s="13">
        <v>0</v>
      </c>
      <c r="G108" s="83">
        <f t="shared" si="1"/>
        <v>5863.77</v>
      </c>
    </row>
    <row r="109" spans="1:7" x14ac:dyDescent="0.25">
      <c r="A109" s="47" t="s">
        <v>352</v>
      </c>
      <c r="B109" s="46" t="s">
        <v>308</v>
      </c>
      <c r="C109" s="10">
        <v>0</v>
      </c>
      <c r="D109" s="13">
        <v>0</v>
      </c>
      <c r="E109" s="13">
        <v>0</v>
      </c>
      <c r="F109" s="13">
        <f>1156.2</f>
        <v>1156.2</v>
      </c>
      <c r="G109" s="83">
        <f>SUM(C109:F109)</f>
        <v>1156.2</v>
      </c>
    </row>
    <row r="110" spans="1:7" ht="15.8" customHeight="1" x14ac:dyDescent="0.25">
      <c r="A110" s="11" t="s">
        <v>63</v>
      </c>
      <c r="B110" s="46" t="s">
        <v>230</v>
      </c>
      <c r="C110" s="10">
        <v>11542</v>
      </c>
      <c r="D110" s="13">
        <v>0</v>
      </c>
      <c r="E110" s="13">
        <v>304.7</v>
      </c>
      <c r="F110" s="13">
        <v>0</v>
      </c>
      <c r="G110" s="83">
        <f t="shared" si="1"/>
        <v>11846.7</v>
      </c>
    </row>
    <row r="111" spans="1:7" ht="15.8" customHeight="1" x14ac:dyDescent="0.25">
      <c r="A111" s="11" t="s">
        <v>334</v>
      </c>
      <c r="B111" s="46" t="s">
        <v>330</v>
      </c>
      <c r="C111" s="10">
        <v>0</v>
      </c>
      <c r="D111" s="13">
        <v>0</v>
      </c>
      <c r="E111" s="13">
        <v>0</v>
      </c>
      <c r="F111" s="13">
        <f>15.65</f>
        <v>15.65</v>
      </c>
      <c r="G111" s="83">
        <f>SUM(C111:F111)</f>
        <v>15.65</v>
      </c>
    </row>
    <row r="112" spans="1:7" ht="15.8" customHeight="1" x14ac:dyDescent="0.25">
      <c r="A112" s="11" t="s">
        <v>335</v>
      </c>
      <c r="B112" s="46" t="s">
        <v>330</v>
      </c>
      <c r="C112" s="10">
        <v>0</v>
      </c>
      <c r="D112" s="13">
        <v>0</v>
      </c>
      <c r="E112" s="13">
        <v>0</v>
      </c>
      <c r="F112" s="13">
        <f>1.74</f>
        <v>1.74</v>
      </c>
      <c r="G112" s="83">
        <f>SUM(C112:F112)</f>
        <v>1.74</v>
      </c>
    </row>
    <row r="113" spans="1:7" ht="15.8" customHeight="1" x14ac:dyDescent="0.25">
      <c r="A113" s="11" t="s">
        <v>350</v>
      </c>
      <c r="B113" s="46" t="s">
        <v>351</v>
      </c>
      <c r="C113" s="10">
        <v>0</v>
      </c>
      <c r="D113" s="13">
        <v>0</v>
      </c>
      <c r="E113" s="13">
        <v>0</v>
      </c>
      <c r="F113" s="13">
        <f>1583.91</f>
        <v>1583.91</v>
      </c>
      <c r="G113" s="83">
        <f>SUM(C113:F113)</f>
        <v>1583.91</v>
      </c>
    </row>
    <row r="114" spans="1:7" ht="15.8" customHeight="1" x14ac:dyDescent="0.25">
      <c r="A114" s="11" t="s">
        <v>363</v>
      </c>
      <c r="B114" s="46" t="s">
        <v>230</v>
      </c>
      <c r="C114" s="10">
        <v>0</v>
      </c>
      <c r="D114" s="13">
        <v>0</v>
      </c>
      <c r="E114" s="13">
        <v>0</v>
      </c>
      <c r="F114" s="13">
        <f>3171.38</f>
        <v>3171.38</v>
      </c>
      <c r="G114" s="83">
        <f>SUM(C114:F114)</f>
        <v>3171.38</v>
      </c>
    </row>
    <row r="115" spans="1:7" x14ac:dyDescent="0.25">
      <c r="A115" s="47" t="s">
        <v>64</v>
      </c>
      <c r="B115" s="46" t="s">
        <v>230</v>
      </c>
      <c r="C115" s="10">
        <v>9249</v>
      </c>
      <c r="D115" s="13">
        <v>0</v>
      </c>
      <c r="E115" s="13">
        <v>231.77</v>
      </c>
      <c r="F115" s="13">
        <v>0</v>
      </c>
      <c r="G115" s="83">
        <f t="shared" si="1"/>
        <v>9480.77</v>
      </c>
    </row>
    <row r="116" spans="1:7" x14ac:dyDescent="0.25">
      <c r="A116" s="47" t="s">
        <v>311</v>
      </c>
      <c r="B116" s="46" t="s">
        <v>230</v>
      </c>
      <c r="C116" s="10">
        <v>0</v>
      </c>
      <c r="D116" s="13">
        <f>1421.59</f>
        <v>1421.59</v>
      </c>
      <c r="E116" s="13">
        <v>0</v>
      </c>
      <c r="F116" s="13">
        <v>0</v>
      </c>
      <c r="G116" s="83">
        <f t="shared" si="1"/>
        <v>1421.59</v>
      </c>
    </row>
    <row r="117" spans="1:7" x14ac:dyDescent="0.25">
      <c r="A117" s="47" t="s">
        <v>312</v>
      </c>
      <c r="B117" s="46" t="s">
        <v>230</v>
      </c>
      <c r="C117" s="10">
        <v>0</v>
      </c>
      <c r="D117" s="13">
        <f>83.63</f>
        <v>83.63</v>
      </c>
      <c r="E117" s="13">
        <v>0</v>
      </c>
      <c r="F117" s="13">
        <v>0</v>
      </c>
      <c r="G117" s="83">
        <f t="shared" si="1"/>
        <v>83.63</v>
      </c>
    </row>
    <row r="118" spans="1:7" x14ac:dyDescent="0.25">
      <c r="A118" s="47" t="s">
        <v>325</v>
      </c>
      <c r="B118" s="46" t="s">
        <v>308</v>
      </c>
      <c r="C118" s="10">
        <v>0</v>
      </c>
      <c r="D118" s="13">
        <v>0</v>
      </c>
      <c r="E118" s="13">
        <v>0</v>
      </c>
      <c r="F118" s="13">
        <f>1352.09</f>
        <v>1352.09</v>
      </c>
      <c r="G118" s="83">
        <f>SUM(C118:F118)</f>
        <v>1352.09</v>
      </c>
    </row>
    <row r="119" spans="1:7" x14ac:dyDescent="0.25">
      <c r="A119" s="47" t="s">
        <v>65</v>
      </c>
      <c r="B119" s="46" t="s">
        <v>230</v>
      </c>
      <c r="C119" s="10">
        <v>9373</v>
      </c>
      <c r="D119" s="13">
        <v>0</v>
      </c>
      <c r="E119" s="13">
        <v>238.62</v>
      </c>
      <c r="F119" s="13">
        <v>0</v>
      </c>
      <c r="G119" s="83">
        <f t="shared" si="1"/>
        <v>9611.6200000000008</v>
      </c>
    </row>
    <row r="120" spans="1:7" x14ac:dyDescent="0.25">
      <c r="A120" s="47" t="s">
        <v>66</v>
      </c>
      <c r="B120" s="46" t="s">
        <v>230</v>
      </c>
      <c r="C120" s="10">
        <v>7684</v>
      </c>
      <c r="D120" s="13">
        <v>0</v>
      </c>
      <c r="E120" s="13">
        <v>289.77</v>
      </c>
      <c r="F120" s="13">
        <v>0</v>
      </c>
      <c r="G120" s="83">
        <f t="shared" si="1"/>
        <v>7973.77</v>
      </c>
    </row>
    <row r="121" spans="1:7" x14ac:dyDescent="0.25">
      <c r="A121" s="47" t="s">
        <v>353</v>
      </c>
      <c r="B121" s="46" t="s">
        <v>308</v>
      </c>
      <c r="C121" s="10">
        <v>0</v>
      </c>
      <c r="D121" s="13">
        <v>0</v>
      </c>
      <c r="E121" s="13">
        <v>0</v>
      </c>
      <c r="F121" s="13">
        <f>1306.67</f>
        <v>1306.67</v>
      </c>
      <c r="G121" s="83">
        <f>SUM(C121:F121)</f>
        <v>1306.67</v>
      </c>
    </row>
    <row r="122" spans="1:7" x14ac:dyDescent="0.25">
      <c r="A122" s="47" t="s">
        <v>67</v>
      </c>
      <c r="B122" s="46" t="s">
        <v>230</v>
      </c>
      <c r="C122" s="10">
        <v>3669</v>
      </c>
      <c r="D122" s="13">
        <v>0</v>
      </c>
      <c r="E122" s="13">
        <v>264.79000000000002</v>
      </c>
      <c r="F122" s="13">
        <v>0</v>
      </c>
      <c r="G122" s="83">
        <f t="shared" si="1"/>
        <v>3933.79</v>
      </c>
    </row>
    <row r="123" spans="1:7" ht="27.7" customHeight="1" x14ac:dyDescent="0.25">
      <c r="A123" s="11" t="s">
        <v>279</v>
      </c>
      <c r="B123" s="46" t="s">
        <v>230</v>
      </c>
      <c r="C123" s="10">
        <v>0</v>
      </c>
      <c r="D123" s="13">
        <v>0</v>
      </c>
      <c r="E123" s="13">
        <v>74.260000000000005</v>
      </c>
      <c r="F123" s="13">
        <v>0</v>
      </c>
      <c r="G123" s="83">
        <f t="shared" si="1"/>
        <v>74.260000000000005</v>
      </c>
    </row>
    <row r="124" spans="1:7" ht="27.7" customHeight="1" x14ac:dyDescent="0.25">
      <c r="A124" s="11" t="s">
        <v>280</v>
      </c>
      <c r="B124" s="46" t="s">
        <v>230</v>
      </c>
      <c r="C124" s="10">
        <v>0</v>
      </c>
      <c r="D124" s="13">
        <v>0</v>
      </c>
      <c r="E124" s="13">
        <v>182.4</v>
      </c>
      <c r="F124" s="13">
        <v>0</v>
      </c>
      <c r="G124" s="83">
        <f t="shared" si="1"/>
        <v>182.4</v>
      </c>
    </row>
    <row r="125" spans="1:7" ht="14.95" customHeight="1" x14ac:dyDescent="0.25">
      <c r="A125" s="11" t="s">
        <v>309</v>
      </c>
      <c r="B125" s="46" t="s">
        <v>230</v>
      </c>
      <c r="C125" s="10">
        <v>0</v>
      </c>
      <c r="D125" s="13">
        <f>1510.99</f>
        <v>1510.99</v>
      </c>
      <c r="E125" s="13">
        <v>0</v>
      </c>
      <c r="F125" s="13">
        <v>0</v>
      </c>
      <c r="G125" s="83">
        <f t="shared" si="1"/>
        <v>1510.99</v>
      </c>
    </row>
    <row r="126" spans="1:7" ht="14.95" customHeight="1" x14ac:dyDescent="0.25">
      <c r="A126" s="11" t="s">
        <v>310</v>
      </c>
      <c r="B126" s="46" t="s">
        <v>230</v>
      </c>
      <c r="C126" s="10">
        <v>0</v>
      </c>
      <c r="D126" s="13">
        <f>88.89</f>
        <v>88.89</v>
      </c>
      <c r="E126" s="13">
        <v>0</v>
      </c>
      <c r="F126" s="13">
        <v>0</v>
      </c>
      <c r="G126" s="83">
        <f t="shared" si="1"/>
        <v>88.89</v>
      </c>
    </row>
    <row r="127" spans="1:7" ht="15.8" customHeight="1" x14ac:dyDescent="0.25">
      <c r="A127" s="47" t="s">
        <v>68</v>
      </c>
      <c r="B127" s="46" t="s">
        <v>230</v>
      </c>
      <c r="C127" s="10">
        <v>1717</v>
      </c>
      <c r="D127" s="13">
        <v>0</v>
      </c>
      <c r="E127" s="13">
        <v>63</v>
      </c>
      <c r="F127" s="13">
        <v>0</v>
      </c>
      <c r="G127" s="83">
        <f t="shared" si="1"/>
        <v>1780</v>
      </c>
    </row>
    <row r="128" spans="1:7" ht="15.8" customHeight="1" x14ac:dyDescent="0.25">
      <c r="A128" s="47" t="s">
        <v>339</v>
      </c>
      <c r="B128" s="46" t="s">
        <v>306</v>
      </c>
      <c r="C128" s="10">
        <v>0</v>
      </c>
      <c r="D128" s="13">
        <v>0</v>
      </c>
      <c r="E128" s="13">
        <v>0</v>
      </c>
      <c r="F128" s="13">
        <f>402.67</f>
        <v>402.67</v>
      </c>
      <c r="G128" s="83">
        <f>SUM(C128:F128)</f>
        <v>402.67</v>
      </c>
    </row>
    <row r="129" spans="1:7" x14ac:dyDescent="0.25">
      <c r="A129" s="47" t="s">
        <v>69</v>
      </c>
      <c r="B129" s="46" t="s">
        <v>230</v>
      </c>
      <c r="C129" s="10">
        <v>11141</v>
      </c>
      <c r="D129" s="13">
        <v>0</v>
      </c>
      <c r="E129" s="13">
        <v>339.05</v>
      </c>
      <c r="F129" s="13">
        <v>0</v>
      </c>
      <c r="G129" s="83">
        <f t="shared" si="1"/>
        <v>11480.05</v>
      </c>
    </row>
    <row r="130" spans="1:7" x14ac:dyDescent="0.25">
      <c r="A130" s="47" t="s">
        <v>70</v>
      </c>
      <c r="B130" s="46" t="s">
        <v>230</v>
      </c>
      <c r="C130" s="10">
        <v>2618</v>
      </c>
      <c r="D130" s="13">
        <v>0</v>
      </c>
      <c r="E130" s="13">
        <v>60</v>
      </c>
      <c r="F130" s="13">
        <v>0</v>
      </c>
      <c r="G130" s="83">
        <f t="shared" si="1"/>
        <v>2678</v>
      </c>
    </row>
    <row r="131" spans="1:7" x14ac:dyDescent="0.25">
      <c r="A131" s="47" t="s">
        <v>71</v>
      </c>
      <c r="B131" s="46" t="s">
        <v>230</v>
      </c>
      <c r="C131" s="10">
        <v>2082</v>
      </c>
      <c r="D131" s="13">
        <v>0</v>
      </c>
      <c r="E131" s="13">
        <v>602</v>
      </c>
      <c r="F131" s="13">
        <v>0</v>
      </c>
      <c r="G131" s="83">
        <f t="shared" si="1"/>
        <v>2684</v>
      </c>
    </row>
    <row r="132" spans="1:7" x14ac:dyDescent="0.25">
      <c r="A132" s="51" t="s">
        <v>72</v>
      </c>
      <c r="B132" s="126" t="s">
        <v>230</v>
      </c>
      <c r="C132" s="13">
        <v>1458</v>
      </c>
      <c r="D132" s="109">
        <v>0</v>
      </c>
      <c r="E132" s="109">
        <v>8</v>
      </c>
      <c r="F132" s="13">
        <v>0</v>
      </c>
      <c r="G132" s="83">
        <f t="shared" si="1"/>
        <v>1466</v>
      </c>
    </row>
    <row r="133" spans="1:7" ht="15.8" customHeight="1" x14ac:dyDescent="0.25">
      <c r="A133" s="51" t="s">
        <v>73</v>
      </c>
      <c r="B133" s="126" t="s">
        <v>230</v>
      </c>
      <c r="C133" s="108">
        <v>21688</v>
      </c>
      <c r="D133" s="109">
        <v>0</v>
      </c>
      <c r="E133" s="109">
        <v>891</v>
      </c>
      <c r="F133" s="109">
        <v>0</v>
      </c>
      <c r="G133" s="147">
        <f t="shared" si="1"/>
        <v>22579</v>
      </c>
    </row>
    <row r="134" spans="1:7" ht="15.8" customHeight="1" x14ac:dyDescent="0.25">
      <c r="A134" s="51" t="s">
        <v>364</v>
      </c>
      <c r="B134" s="126" t="s">
        <v>365</v>
      </c>
      <c r="C134" s="108">
        <v>0</v>
      </c>
      <c r="D134" s="109">
        <v>0</v>
      </c>
      <c r="E134" s="109">
        <v>0</v>
      </c>
      <c r="F134" s="109">
        <f>1827</f>
        <v>1827</v>
      </c>
      <c r="G134" s="147">
        <f>SUM(C134:F134)</f>
        <v>1827</v>
      </c>
    </row>
    <row r="135" spans="1:7" x14ac:dyDescent="0.25">
      <c r="A135" s="53" t="s">
        <v>74</v>
      </c>
      <c r="B135" s="126" t="s">
        <v>230</v>
      </c>
      <c r="C135" s="109">
        <v>26800</v>
      </c>
      <c r="D135" s="109">
        <v>0</v>
      </c>
      <c r="E135" s="109">
        <v>1503</v>
      </c>
      <c r="F135" s="109">
        <v>0</v>
      </c>
      <c r="G135" s="147">
        <f t="shared" si="1"/>
        <v>28303</v>
      </c>
    </row>
    <row r="136" spans="1:7" ht="40.6" customHeight="1" x14ac:dyDescent="0.25">
      <c r="A136" s="150" t="s">
        <v>75</v>
      </c>
      <c r="B136" s="146"/>
      <c r="C136" s="130">
        <v>5000</v>
      </c>
      <c r="D136" s="130">
        <f>-2807.38</f>
        <v>-2807.38</v>
      </c>
      <c r="E136" s="130">
        <v>426.22</v>
      </c>
      <c r="F136" s="130">
        <v>0</v>
      </c>
      <c r="G136" s="148">
        <f t="shared" si="1"/>
        <v>2618.84</v>
      </c>
    </row>
    <row r="137" spans="1:7" ht="16.5" customHeight="1" x14ac:dyDescent="0.25">
      <c r="A137" s="151" t="s">
        <v>76</v>
      </c>
      <c r="B137" s="149"/>
      <c r="C137" s="108">
        <v>0</v>
      </c>
      <c r="D137" s="108">
        <f>342.88</f>
        <v>342.88</v>
      </c>
      <c r="E137" s="108">
        <v>0</v>
      </c>
      <c r="F137" s="108">
        <v>0</v>
      </c>
      <c r="G137" s="152">
        <f t="shared" si="1"/>
        <v>342.88</v>
      </c>
    </row>
    <row r="138" spans="1:7" ht="16.5" customHeight="1" x14ac:dyDescent="0.25">
      <c r="A138" s="125" t="s">
        <v>77</v>
      </c>
      <c r="B138" s="111"/>
      <c r="C138" s="112">
        <v>0</v>
      </c>
      <c r="D138" s="112">
        <v>154.59</v>
      </c>
      <c r="E138" s="112">
        <v>0</v>
      </c>
      <c r="F138" s="130">
        <v>0</v>
      </c>
      <c r="G138" s="148">
        <f t="shared" si="1"/>
        <v>154.59</v>
      </c>
    </row>
    <row r="139" spans="1:7" ht="16.5" customHeight="1" x14ac:dyDescent="0.25">
      <c r="A139" s="73" t="s">
        <v>78</v>
      </c>
      <c r="B139" s="78"/>
      <c r="C139" s="107">
        <v>0</v>
      </c>
      <c r="D139" s="107">
        <v>257.52999999999997</v>
      </c>
      <c r="E139" s="107">
        <v>0</v>
      </c>
      <c r="F139" s="130">
        <v>0</v>
      </c>
      <c r="G139" s="148">
        <f t="shared" si="1"/>
        <v>257.52999999999997</v>
      </c>
    </row>
    <row r="140" spans="1:7" ht="16.5" customHeight="1" x14ac:dyDescent="0.25">
      <c r="A140" s="73" t="s">
        <v>79</v>
      </c>
      <c r="B140" s="78"/>
      <c r="C140" s="107">
        <v>0</v>
      </c>
      <c r="D140" s="107">
        <v>412.23</v>
      </c>
      <c r="E140" s="107">
        <v>0</v>
      </c>
      <c r="F140" s="130">
        <v>0</v>
      </c>
      <c r="G140" s="148">
        <f t="shared" si="1"/>
        <v>412.23</v>
      </c>
    </row>
    <row r="141" spans="1:7" ht="16.5" customHeight="1" x14ac:dyDescent="0.25">
      <c r="A141" s="73" t="s">
        <v>80</v>
      </c>
      <c r="B141" s="78"/>
      <c r="C141" s="107">
        <v>0</v>
      </c>
      <c r="D141" s="107">
        <v>335.62</v>
      </c>
      <c r="E141" s="107">
        <v>0</v>
      </c>
      <c r="F141" s="130">
        <v>0</v>
      </c>
      <c r="G141" s="148">
        <f t="shared" si="1"/>
        <v>335.62</v>
      </c>
    </row>
    <row r="142" spans="1:7" ht="16.5" customHeight="1" x14ac:dyDescent="0.25">
      <c r="A142" s="73" t="s">
        <v>81</v>
      </c>
      <c r="B142" s="78"/>
      <c r="C142" s="107">
        <v>0</v>
      </c>
      <c r="D142" s="107">
        <v>273.38</v>
      </c>
      <c r="E142" s="107">
        <v>0</v>
      </c>
      <c r="F142" s="130">
        <v>0</v>
      </c>
      <c r="G142" s="148">
        <f t="shared" si="1"/>
        <v>273.38</v>
      </c>
    </row>
    <row r="143" spans="1:7" ht="16.5" customHeight="1" x14ac:dyDescent="0.25">
      <c r="A143" s="73" t="s">
        <v>82</v>
      </c>
      <c r="B143" s="78"/>
      <c r="C143" s="107">
        <v>0</v>
      </c>
      <c r="D143" s="107">
        <v>331.97</v>
      </c>
      <c r="E143" s="107">
        <v>0</v>
      </c>
      <c r="F143" s="130">
        <v>0</v>
      </c>
      <c r="G143" s="148">
        <f t="shared" si="1"/>
        <v>331.97</v>
      </c>
    </row>
    <row r="144" spans="1:7" ht="16.5" customHeight="1" x14ac:dyDescent="0.25">
      <c r="A144" s="162" t="s">
        <v>83</v>
      </c>
      <c r="B144" s="149"/>
      <c r="C144" s="108">
        <v>0</v>
      </c>
      <c r="D144" s="108">
        <v>413.6</v>
      </c>
      <c r="E144" s="108">
        <v>0</v>
      </c>
      <c r="F144" s="108">
        <v>0</v>
      </c>
      <c r="G144" s="152">
        <f t="shared" si="1"/>
        <v>413.6</v>
      </c>
    </row>
    <row r="145" spans="1:7" ht="17.350000000000001" customHeight="1" x14ac:dyDescent="0.25">
      <c r="A145" s="125" t="s">
        <v>84</v>
      </c>
      <c r="B145" s="111"/>
      <c r="C145" s="112">
        <v>0</v>
      </c>
      <c r="D145" s="112">
        <v>86.64</v>
      </c>
      <c r="E145" s="112">
        <v>0</v>
      </c>
      <c r="F145" s="130">
        <v>0</v>
      </c>
      <c r="G145" s="148">
        <f t="shared" si="1"/>
        <v>86.64</v>
      </c>
    </row>
    <row r="146" spans="1:7" ht="16.5" customHeight="1" x14ac:dyDescent="0.25">
      <c r="A146" s="75" t="s">
        <v>261</v>
      </c>
      <c r="B146" s="79"/>
      <c r="C146" s="107">
        <v>0</v>
      </c>
      <c r="D146" s="107">
        <v>19.38</v>
      </c>
      <c r="E146" s="107">
        <v>0</v>
      </c>
      <c r="F146" s="130">
        <v>0</v>
      </c>
      <c r="G146" s="148">
        <f t="shared" si="1"/>
        <v>19.38</v>
      </c>
    </row>
    <row r="147" spans="1:7" ht="16.5" customHeight="1" x14ac:dyDescent="0.25">
      <c r="A147" s="75" t="s">
        <v>85</v>
      </c>
      <c r="B147" s="79"/>
      <c r="C147" s="107">
        <v>0</v>
      </c>
      <c r="D147" s="107">
        <v>3.65</v>
      </c>
      <c r="E147" s="107">
        <v>0</v>
      </c>
      <c r="F147" s="130">
        <v>0</v>
      </c>
      <c r="G147" s="148">
        <f t="shared" si="1"/>
        <v>3.65</v>
      </c>
    </row>
    <row r="148" spans="1:7" ht="16.5" customHeight="1" x14ac:dyDescent="0.25">
      <c r="A148" s="8" t="s">
        <v>86</v>
      </c>
      <c r="B148" s="76"/>
      <c r="C148" s="108">
        <v>0</v>
      </c>
      <c r="D148" s="108">
        <v>175.91</v>
      </c>
      <c r="E148" s="108">
        <v>0</v>
      </c>
      <c r="F148" s="108">
        <v>0</v>
      </c>
      <c r="G148" s="152">
        <f t="shared" si="1"/>
        <v>175.91</v>
      </c>
    </row>
    <row r="149" spans="1:7" ht="14.95" customHeight="1" x14ac:dyDescent="0.25">
      <c r="A149" s="52" t="s">
        <v>87</v>
      </c>
      <c r="B149" s="76" t="s">
        <v>230</v>
      </c>
      <c r="C149" s="10">
        <v>400</v>
      </c>
      <c r="D149" s="10">
        <v>0</v>
      </c>
      <c r="E149" s="108">
        <v>0</v>
      </c>
      <c r="F149" s="10">
        <v>0</v>
      </c>
      <c r="G149" s="152">
        <f t="shared" si="1"/>
        <v>400</v>
      </c>
    </row>
    <row r="150" spans="1:7" ht="14.95" customHeight="1" x14ac:dyDescent="0.25">
      <c r="A150" s="53" t="s">
        <v>88</v>
      </c>
      <c r="B150" s="46" t="s">
        <v>230</v>
      </c>
      <c r="C150" s="10">
        <v>149.5</v>
      </c>
      <c r="D150" s="13">
        <v>0</v>
      </c>
      <c r="E150" s="13">
        <v>0</v>
      </c>
      <c r="F150" s="10">
        <v>0</v>
      </c>
      <c r="G150" s="83">
        <f t="shared" si="1"/>
        <v>149.5</v>
      </c>
    </row>
    <row r="151" spans="1:7" ht="14.95" customHeight="1" x14ac:dyDescent="0.25">
      <c r="A151" s="11" t="s">
        <v>89</v>
      </c>
      <c r="B151" s="46" t="s">
        <v>230</v>
      </c>
      <c r="C151" s="10">
        <v>1350</v>
      </c>
      <c r="D151" s="13">
        <v>0</v>
      </c>
      <c r="E151" s="13">
        <v>0</v>
      </c>
      <c r="F151" s="10">
        <v>0</v>
      </c>
      <c r="G151" s="83">
        <f t="shared" si="1"/>
        <v>1350</v>
      </c>
    </row>
    <row r="152" spans="1:7" ht="14.95" customHeight="1" x14ac:dyDescent="0.25">
      <c r="A152" s="11" t="s">
        <v>90</v>
      </c>
      <c r="B152" s="46" t="s">
        <v>230</v>
      </c>
      <c r="C152" s="10">
        <v>1900</v>
      </c>
      <c r="D152" s="13">
        <v>0</v>
      </c>
      <c r="E152" s="13">
        <v>0</v>
      </c>
      <c r="F152" s="10">
        <v>0</v>
      </c>
      <c r="G152" s="83">
        <f t="shared" si="1"/>
        <v>1900</v>
      </c>
    </row>
    <row r="153" spans="1:7" ht="23.95" customHeight="1" x14ac:dyDescent="0.25">
      <c r="A153" s="11" t="s">
        <v>91</v>
      </c>
      <c r="B153" s="46" t="s">
        <v>230</v>
      </c>
      <c r="C153" s="13">
        <v>1750</v>
      </c>
      <c r="D153" s="13">
        <v>0</v>
      </c>
      <c r="E153" s="13">
        <v>0</v>
      </c>
      <c r="F153" s="10">
        <v>0</v>
      </c>
      <c r="G153" s="83">
        <f t="shared" si="1"/>
        <v>1750</v>
      </c>
    </row>
    <row r="154" spans="1:7" ht="27.7" customHeight="1" x14ac:dyDescent="0.25">
      <c r="A154" s="26" t="s">
        <v>255</v>
      </c>
      <c r="B154" s="46" t="s">
        <v>230</v>
      </c>
      <c r="C154" s="10">
        <v>420</v>
      </c>
      <c r="D154" s="81">
        <v>0</v>
      </c>
      <c r="E154" s="81">
        <v>0</v>
      </c>
      <c r="F154" s="82">
        <v>0</v>
      </c>
      <c r="G154" s="83">
        <f t="shared" si="1"/>
        <v>420</v>
      </c>
    </row>
    <row r="155" spans="1:7" ht="14.3" customHeight="1" x14ac:dyDescent="0.25">
      <c r="A155" s="11" t="s">
        <v>233</v>
      </c>
      <c r="B155" s="46" t="s">
        <v>230</v>
      </c>
      <c r="C155" s="10">
        <v>100</v>
      </c>
      <c r="D155" s="81">
        <v>0</v>
      </c>
      <c r="E155" s="81">
        <v>0</v>
      </c>
      <c r="F155" s="82">
        <v>0</v>
      </c>
      <c r="G155" s="83">
        <f t="shared" si="1"/>
        <v>100</v>
      </c>
    </row>
    <row r="156" spans="1:7" ht="26.35" customHeight="1" x14ac:dyDescent="0.25">
      <c r="A156" s="26" t="s">
        <v>235</v>
      </c>
      <c r="B156" s="46" t="s">
        <v>230</v>
      </c>
      <c r="C156" s="10">
        <v>560</v>
      </c>
      <c r="D156" s="81">
        <v>0</v>
      </c>
      <c r="E156" s="81">
        <v>0</v>
      </c>
      <c r="F156" s="82">
        <v>0</v>
      </c>
      <c r="G156" s="83">
        <f t="shared" si="1"/>
        <v>560</v>
      </c>
    </row>
    <row r="157" spans="1:7" ht="25.5" customHeight="1" x14ac:dyDescent="0.25">
      <c r="A157" s="26" t="s">
        <v>236</v>
      </c>
      <c r="B157" s="46" t="s">
        <v>230</v>
      </c>
      <c r="C157" s="10">
        <v>140</v>
      </c>
      <c r="D157" s="81">
        <v>0</v>
      </c>
      <c r="E157" s="81">
        <v>0</v>
      </c>
      <c r="F157" s="82">
        <v>0</v>
      </c>
      <c r="G157" s="83">
        <f t="shared" si="1"/>
        <v>140</v>
      </c>
    </row>
    <row r="158" spans="1:7" ht="14.95" customHeight="1" x14ac:dyDescent="0.25">
      <c r="A158" s="11" t="s">
        <v>92</v>
      </c>
      <c r="B158" s="46" t="s">
        <v>230</v>
      </c>
      <c r="C158" s="10">
        <v>50</v>
      </c>
      <c r="D158" s="13">
        <v>0</v>
      </c>
      <c r="E158" s="13">
        <v>0</v>
      </c>
      <c r="F158" s="10">
        <v>0</v>
      </c>
      <c r="G158" s="83">
        <f t="shared" si="1"/>
        <v>50</v>
      </c>
    </row>
    <row r="159" spans="1:7" ht="26.35" customHeight="1" x14ac:dyDescent="0.25">
      <c r="A159" s="11" t="s">
        <v>93</v>
      </c>
      <c r="B159" s="46" t="s">
        <v>230</v>
      </c>
      <c r="C159" s="10">
        <v>2000</v>
      </c>
      <c r="D159" s="13">
        <v>0</v>
      </c>
      <c r="E159" s="13">
        <v>0</v>
      </c>
      <c r="F159" s="10">
        <v>0</v>
      </c>
      <c r="G159" s="83">
        <f t="shared" si="1"/>
        <v>2000</v>
      </c>
    </row>
    <row r="160" spans="1:7" ht="16.5" customHeight="1" x14ac:dyDescent="0.25">
      <c r="A160" s="11" t="s">
        <v>234</v>
      </c>
      <c r="B160" s="46" t="s">
        <v>230</v>
      </c>
      <c r="C160" s="10">
        <v>1000</v>
      </c>
      <c r="D160" s="81">
        <v>0</v>
      </c>
      <c r="E160" s="81">
        <v>0</v>
      </c>
      <c r="F160" s="82">
        <v>0</v>
      </c>
      <c r="G160" s="83">
        <f t="shared" si="1"/>
        <v>1000</v>
      </c>
    </row>
    <row r="161" spans="1:7" ht="14.3" customHeight="1" x14ac:dyDescent="0.25">
      <c r="A161" s="11" t="s">
        <v>94</v>
      </c>
      <c r="B161" s="46" t="s">
        <v>230</v>
      </c>
      <c r="C161" s="10">
        <v>2400</v>
      </c>
      <c r="D161" s="13">
        <v>0</v>
      </c>
      <c r="E161" s="13">
        <v>0</v>
      </c>
      <c r="F161" s="10">
        <v>0</v>
      </c>
      <c r="G161" s="83">
        <f t="shared" si="1"/>
        <v>2400</v>
      </c>
    </row>
    <row r="162" spans="1:7" ht="17.350000000000001" customHeight="1" x14ac:dyDescent="0.25">
      <c r="A162" s="54" t="s">
        <v>104</v>
      </c>
      <c r="B162" s="46" t="s">
        <v>230</v>
      </c>
      <c r="C162" s="10">
        <v>2400</v>
      </c>
      <c r="D162" s="13">
        <v>0</v>
      </c>
      <c r="E162" s="13">
        <v>0</v>
      </c>
      <c r="F162" s="10">
        <v>0</v>
      </c>
      <c r="G162" s="83">
        <f t="shared" si="1"/>
        <v>2400</v>
      </c>
    </row>
    <row r="163" spans="1:7" ht="25.5" customHeight="1" x14ac:dyDescent="0.25">
      <c r="A163" s="11" t="s">
        <v>95</v>
      </c>
      <c r="B163" s="46" t="s">
        <v>230</v>
      </c>
      <c r="C163" s="10">
        <v>85</v>
      </c>
      <c r="D163" s="13">
        <v>0</v>
      </c>
      <c r="E163" s="13">
        <v>0</v>
      </c>
      <c r="F163" s="10">
        <v>0</v>
      </c>
      <c r="G163" s="83">
        <f t="shared" si="1"/>
        <v>85</v>
      </c>
    </row>
    <row r="164" spans="1:7" ht="14.95" customHeight="1" x14ac:dyDescent="0.25">
      <c r="A164" s="11" t="s">
        <v>96</v>
      </c>
      <c r="B164" s="46" t="s">
        <v>230</v>
      </c>
      <c r="C164" s="10">
        <v>80</v>
      </c>
      <c r="D164" s="13">
        <v>0</v>
      </c>
      <c r="E164" s="13">
        <v>0</v>
      </c>
      <c r="F164" s="10">
        <v>0</v>
      </c>
      <c r="G164" s="83">
        <f t="shared" si="1"/>
        <v>80</v>
      </c>
    </row>
    <row r="165" spans="1:7" ht="14.3" customHeight="1" x14ac:dyDescent="0.25">
      <c r="A165" s="11" t="s">
        <v>97</v>
      </c>
      <c r="B165" s="46" t="s">
        <v>230</v>
      </c>
      <c r="C165" s="10">
        <v>2400</v>
      </c>
      <c r="D165" s="13">
        <v>0</v>
      </c>
      <c r="E165" s="13">
        <v>0</v>
      </c>
      <c r="F165" s="10">
        <v>0</v>
      </c>
      <c r="G165" s="83">
        <f t="shared" si="1"/>
        <v>2400</v>
      </c>
    </row>
    <row r="166" spans="1:7" ht="15.8" customHeight="1" x14ac:dyDescent="0.25">
      <c r="A166" s="11" t="s">
        <v>98</v>
      </c>
      <c r="B166" s="46" t="s">
        <v>230</v>
      </c>
      <c r="C166" s="10">
        <v>2400</v>
      </c>
      <c r="D166" s="13">
        <v>0</v>
      </c>
      <c r="E166" s="13">
        <v>0</v>
      </c>
      <c r="F166" s="10">
        <v>0</v>
      </c>
      <c r="G166" s="83">
        <f t="shared" si="1"/>
        <v>2400</v>
      </c>
    </row>
    <row r="167" spans="1:7" ht="23.95" customHeight="1" x14ac:dyDescent="0.25">
      <c r="A167" s="11" t="s">
        <v>271</v>
      </c>
      <c r="B167" s="46" t="s">
        <v>230</v>
      </c>
      <c r="C167" s="10">
        <v>0</v>
      </c>
      <c r="D167" s="13">
        <f>40</f>
        <v>40</v>
      </c>
      <c r="E167" s="13">
        <v>0</v>
      </c>
      <c r="F167" s="10">
        <v>0</v>
      </c>
      <c r="G167" s="83">
        <f t="shared" si="1"/>
        <v>40</v>
      </c>
    </row>
    <row r="168" spans="1:7" ht="16.5" customHeight="1" x14ac:dyDescent="0.25">
      <c r="A168" s="11" t="s">
        <v>265</v>
      </c>
      <c r="B168" s="46" t="s">
        <v>230</v>
      </c>
      <c r="C168" s="10">
        <v>0</v>
      </c>
      <c r="D168" s="13">
        <f>16</f>
        <v>16</v>
      </c>
      <c r="E168" s="13">
        <v>0</v>
      </c>
      <c r="F168" s="10">
        <v>0</v>
      </c>
      <c r="G168" s="83">
        <f t="shared" si="1"/>
        <v>16</v>
      </c>
    </row>
    <row r="169" spans="1:7" ht="16.5" customHeight="1" x14ac:dyDescent="0.25">
      <c r="A169" s="11" t="s">
        <v>266</v>
      </c>
      <c r="B169" s="46" t="s">
        <v>230</v>
      </c>
      <c r="C169" s="10">
        <v>0</v>
      </c>
      <c r="D169" s="13">
        <f>20</f>
        <v>20</v>
      </c>
      <c r="E169" s="13">
        <v>0</v>
      </c>
      <c r="F169" s="10">
        <v>0</v>
      </c>
      <c r="G169" s="83">
        <f t="shared" si="1"/>
        <v>20</v>
      </c>
    </row>
    <row r="170" spans="1:7" ht="16.5" customHeight="1" x14ac:dyDescent="0.25">
      <c r="A170" s="11" t="s">
        <v>267</v>
      </c>
      <c r="B170" s="46" t="s">
        <v>230</v>
      </c>
      <c r="C170" s="10">
        <v>0</v>
      </c>
      <c r="D170" s="13">
        <f>5</f>
        <v>5</v>
      </c>
      <c r="E170" s="13">
        <v>0</v>
      </c>
      <c r="F170" s="10">
        <v>0</v>
      </c>
      <c r="G170" s="83">
        <f t="shared" ref="G170:G236" si="2">SUM(C170:F170)</f>
        <v>5</v>
      </c>
    </row>
    <row r="171" spans="1:7" ht="14.95" customHeight="1" x14ac:dyDescent="0.25">
      <c r="A171" s="11" t="s">
        <v>99</v>
      </c>
      <c r="B171" s="46" t="s">
        <v>230</v>
      </c>
      <c r="C171" s="10">
        <v>500</v>
      </c>
      <c r="D171" s="13">
        <v>0</v>
      </c>
      <c r="E171" s="13">
        <v>0</v>
      </c>
      <c r="F171" s="10">
        <v>0</v>
      </c>
      <c r="G171" s="83">
        <f t="shared" si="2"/>
        <v>500</v>
      </c>
    </row>
    <row r="172" spans="1:7" ht="15.8" customHeight="1" x14ac:dyDescent="0.25">
      <c r="A172" s="11" t="s">
        <v>100</v>
      </c>
      <c r="B172" s="46" t="s">
        <v>230</v>
      </c>
      <c r="C172" s="10">
        <v>250</v>
      </c>
      <c r="D172" s="13">
        <v>0</v>
      </c>
      <c r="E172" s="13">
        <v>0</v>
      </c>
      <c r="F172" s="10">
        <v>0</v>
      </c>
      <c r="G172" s="83">
        <f t="shared" si="2"/>
        <v>250</v>
      </c>
    </row>
    <row r="173" spans="1:7" ht="27.7" customHeight="1" x14ac:dyDescent="0.25">
      <c r="A173" s="11" t="s">
        <v>270</v>
      </c>
      <c r="B173" s="46" t="s">
        <v>230</v>
      </c>
      <c r="C173" s="10">
        <v>0</v>
      </c>
      <c r="D173" s="13">
        <f>10</f>
        <v>10</v>
      </c>
      <c r="E173" s="13">
        <v>0</v>
      </c>
      <c r="F173" s="10">
        <v>0</v>
      </c>
      <c r="G173" s="83">
        <f t="shared" si="2"/>
        <v>10</v>
      </c>
    </row>
    <row r="174" spans="1:7" ht="27.7" customHeight="1" x14ac:dyDescent="0.25">
      <c r="A174" s="11" t="s">
        <v>269</v>
      </c>
      <c r="B174" s="46" t="s">
        <v>230</v>
      </c>
      <c r="C174" s="10">
        <v>0</v>
      </c>
      <c r="D174" s="13">
        <f>10</f>
        <v>10</v>
      </c>
      <c r="E174" s="13">
        <v>0</v>
      </c>
      <c r="F174" s="10">
        <v>0</v>
      </c>
      <c r="G174" s="83">
        <f t="shared" si="2"/>
        <v>10</v>
      </c>
    </row>
    <row r="175" spans="1:7" ht="15.8" customHeight="1" x14ac:dyDescent="0.25">
      <c r="A175" s="47" t="s">
        <v>101</v>
      </c>
      <c r="B175" s="46" t="s">
        <v>230</v>
      </c>
      <c r="C175" s="10">
        <v>600</v>
      </c>
      <c r="D175" s="13">
        <v>0</v>
      </c>
      <c r="E175" s="13">
        <v>0</v>
      </c>
      <c r="F175" s="10">
        <v>0</v>
      </c>
      <c r="G175" s="83">
        <f t="shared" si="2"/>
        <v>600</v>
      </c>
    </row>
    <row r="176" spans="1:7" ht="16.5" customHeight="1" x14ac:dyDescent="0.25">
      <c r="A176" s="47" t="s">
        <v>102</v>
      </c>
      <c r="B176" s="46" t="s">
        <v>230</v>
      </c>
      <c r="C176" s="10">
        <v>50</v>
      </c>
      <c r="D176" s="13">
        <v>0</v>
      </c>
      <c r="E176" s="13">
        <v>0</v>
      </c>
      <c r="F176" s="10">
        <v>0</v>
      </c>
      <c r="G176" s="83">
        <f t="shared" si="2"/>
        <v>50</v>
      </c>
    </row>
    <row r="177" spans="1:8" ht="16.5" customHeight="1" x14ac:dyDescent="0.25">
      <c r="A177" s="47" t="s">
        <v>268</v>
      </c>
      <c r="B177" s="46" t="s">
        <v>230</v>
      </c>
      <c r="C177" s="10">
        <v>0</v>
      </c>
      <c r="D177" s="13">
        <f>6.5</f>
        <v>6.5</v>
      </c>
      <c r="E177" s="13">
        <v>0</v>
      </c>
      <c r="F177" s="10">
        <v>0</v>
      </c>
      <c r="G177" s="83">
        <f t="shared" si="2"/>
        <v>6.5</v>
      </c>
    </row>
    <row r="178" spans="1:8" ht="14.3" customHeight="1" x14ac:dyDescent="0.25">
      <c r="A178" s="11" t="s">
        <v>103</v>
      </c>
      <c r="B178" s="46" t="s">
        <v>230</v>
      </c>
      <c r="C178" s="10">
        <v>650</v>
      </c>
      <c r="D178" s="13">
        <v>0</v>
      </c>
      <c r="E178" s="13">
        <v>0</v>
      </c>
      <c r="F178" s="10">
        <v>0</v>
      </c>
      <c r="G178" s="83">
        <f t="shared" si="2"/>
        <v>650</v>
      </c>
    </row>
    <row r="179" spans="1:8" ht="16.5" customHeight="1" thickBot="1" x14ac:dyDescent="0.3">
      <c r="A179" s="48" t="s">
        <v>105</v>
      </c>
      <c r="B179" s="38"/>
      <c r="C179" s="16">
        <v>25179</v>
      </c>
      <c r="D179" s="16">
        <f>-130-107.5</f>
        <v>-237.5</v>
      </c>
      <c r="E179" s="16">
        <v>-4120.04</v>
      </c>
      <c r="F179" s="16">
        <f>67.31+27.5</f>
        <v>94.81</v>
      </c>
      <c r="G179" s="144">
        <f t="shared" si="2"/>
        <v>20916.27</v>
      </c>
    </row>
    <row r="180" spans="1:8" ht="14.3" customHeight="1" thickBot="1" x14ac:dyDescent="0.3">
      <c r="A180" s="49" t="s">
        <v>106</v>
      </c>
      <c r="B180" s="43"/>
      <c r="C180" s="35">
        <f>SUM(C182:C191)</f>
        <v>345485</v>
      </c>
      <c r="D180" s="35">
        <f>SUM(D182:D191)</f>
        <v>63.6</v>
      </c>
      <c r="E180" s="35">
        <f>SUM(E182:E191)</f>
        <v>12032</v>
      </c>
      <c r="F180" s="35">
        <f>SUM(F182:F191)</f>
        <v>80.710000000000008</v>
      </c>
      <c r="G180" s="142">
        <f t="shared" si="2"/>
        <v>357661.31</v>
      </c>
      <c r="H180" s="77"/>
    </row>
    <row r="181" spans="1:8" ht="12.75" customHeight="1" x14ac:dyDescent="0.25">
      <c r="A181" s="50" t="s">
        <v>25</v>
      </c>
      <c r="B181" s="40"/>
      <c r="C181" s="10"/>
      <c r="D181" s="10"/>
      <c r="E181" s="10"/>
      <c r="F181" s="10"/>
      <c r="G181" s="83"/>
    </row>
    <row r="182" spans="1:8" ht="14.95" customHeight="1" x14ac:dyDescent="0.25">
      <c r="A182" s="47" t="s">
        <v>27</v>
      </c>
      <c r="B182" s="42"/>
      <c r="C182" s="10">
        <v>83462</v>
      </c>
      <c r="D182" s="13">
        <f>2.6</f>
        <v>2.6</v>
      </c>
      <c r="E182" s="13">
        <v>6410</v>
      </c>
      <c r="F182" s="13">
        <f>2.6+45.11</f>
        <v>47.71</v>
      </c>
      <c r="G182" s="83">
        <f t="shared" si="2"/>
        <v>89922.310000000012</v>
      </c>
    </row>
    <row r="183" spans="1:8" ht="14.95" customHeight="1" x14ac:dyDescent="0.25">
      <c r="A183" s="47" t="s">
        <v>223</v>
      </c>
      <c r="B183" s="46" t="s">
        <v>230</v>
      </c>
      <c r="C183" s="10">
        <v>140800</v>
      </c>
      <c r="D183" s="13">
        <v>0</v>
      </c>
      <c r="E183" s="13">
        <v>6000</v>
      </c>
      <c r="F183" s="13">
        <v>0</v>
      </c>
      <c r="G183" s="83">
        <f t="shared" si="2"/>
        <v>146800</v>
      </c>
    </row>
    <row r="184" spans="1:8" ht="14.95" customHeight="1" x14ac:dyDescent="0.25">
      <c r="A184" s="47" t="s">
        <v>224</v>
      </c>
      <c r="B184" s="46" t="s">
        <v>230</v>
      </c>
      <c r="C184" s="10">
        <v>27000</v>
      </c>
      <c r="D184" s="13">
        <v>0</v>
      </c>
      <c r="E184" s="13">
        <v>0</v>
      </c>
      <c r="F184" s="13">
        <v>0</v>
      </c>
      <c r="G184" s="83">
        <f t="shared" si="2"/>
        <v>27000</v>
      </c>
    </row>
    <row r="185" spans="1:8" ht="14.95" customHeight="1" x14ac:dyDescent="0.25">
      <c r="A185" s="47" t="s">
        <v>107</v>
      </c>
      <c r="B185" s="46" t="s">
        <v>230</v>
      </c>
      <c r="C185" s="10">
        <v>233</v>
      </c>
      <c r="D185" s="13">
        <v>0</v>
      </c>
      <c r="E185" s="13">
        <v>0</v>
      </c>
      <c r="F185" s="13">
        <v>0</v>
      </c>
      <c r="G185" s="83">
        <f t="shared" si="2"/>
        <v>233</v>
      </c>
    </row>
    <row r="186" spans="1:8" ht="14.95" customHeight="1" x14ac:dyDescent="0.25">
      <c r="A186" s="47" t="s">
        <v>108</v>
      </c>
      <c r="B186" s="46" t="s">
        <v>230</v>
      </c>
      <c r="C186" s="10">
        <v>194</v>
      </c>
      <c r="D186" s="13">
        <v>0</v>
      </c>
      <c r="E186" s="13">
        <v>0</v>
      </c>
      <c r="F186" s="13">
        <v>0</v>
      </c>
      <c r="G186" s="83">
        <f t="shared" si="2"/>
        <v>194</v>
      </c>
    </row>
    <row r="187" spans="1:8" ht="12.75" customHeight="1" x14ac:dyDescent="0.25">
      <c r="A187" s="47" t="s">
        <v>109</v>
      </c>
      <c r="B187" s="46" t="s">
        <v>230</v>
      </c>
      <c r="C187" s="10">
        <v>1072</v>
      </c>
      <c r="D187" s="13">
        <v>0</v>
      </c>
      <c r="E187" s="13">
        <v>0</v>
      </c>
      <c r="F187" s="13">
        <v>0</v>
      </c>
      <c r="G187" s="83">
        <f t="shared" si="2"/>
        <v>1072</v>
      </c>
    </row>
    <row r="188" spans="1:8" ht="14.95" customHeight="1" x14ac:dyDescent="0.25">
      <c r="A188" s="47" t="s">
        <v>110</v>
      </c>
      <c r="B188" s="46" t="s">
        <v>230</v>
      </c>
      <c r="C188" s="10">
        <v>284</v>
      </c>
      <c r="D188" s="13">
        <v>0</v>
      </c>
      <c r="E188" s="13">
        <v>0</v>
      </c>
      <c r="F188" s="13">
        <v>0</v>
      </c>
      <c r="G188" s="83">
        <f t="shared" si="2"/>
        <v>284</v>
      </c>
    </row>
    <row r="189" spans="1:8" ht="27" customHeight="1" x14ac:dyDescent="0.25">
      <c r="A189" s="11" t="s">
        <v>111</v>
      </c>
      <c r="B189" s="46" t="s">
        <v>230</v>
      </c>
      <c r="C189" s="10">
        <v>154</v>
      </c>
      <c r="D189" s="13">
        <v>0</v>
      </c>
      <c r="E189" s="13">
        <v>0</v>
      </c>
      <c r="F189" s="13">
        <v>0</v>
      </c>
      <c r="G189" s="83">
        <f t="shared" si="2"/>
        <v>154</v>
      </c>
    </row>
    <row r="190" spans="1:8" ht="26.35" customHeight="1" x14ac:dyDescent="0.25">
      <c r="A190" s="11" t="s">
        <v>239</v>
      </c>
      <c r="B190" s="46" t="s">
        <v>158</v>
      </c>
      <c r="C190" s="10">
        <v>2450</v>
      </c>
      <c r="D190" s="13">
        <v>0</v>
      </c>
      <c r="E190" s="13">
        <v>-930</v>
      </c>
      <c r="F190" s="13">
        <v>0</v>
      </c>
      <c r="G190" s="83">
        <f t="shared" si="2"/>
        <v>1520</v>
      </c>
    </row>
    <row r="191" spans="1:8" ht="17.350000000000001" customHeight="1" thickBot="1" x14ac:dyDescent="0.3">
      <c r="A191" s="14" t="s">
        <v>112</v>
      </c>
      <c r="B191" s="38"/>
      <c r="C191" s="16">
        <v>89836</v>
      </c>
      <c r="D191" s="16">
        <f>61</f>
        <v>61</v>
      </c>
      <c r="E191" s="16">
        <v>552</v>
      </c>
      <c r="F191" s="16">
        <f>33</f>
        <v>33</v>
      </c>
      <c r="G191" s="98">
        <f t="shared" si="2"/>
        <v>90482</v>
      </c>
    </row>
    <row r="192" spans="1:8" ht="14.95" customHeight="1" thickBot="1" x14ac:dyDescent="0.3">
      <c r="A192" s="49" t="s">
        <v>113</v>
      </c>
      <c r="B192" s="43"/>
      <c r="C192" s="35">
        <f>SUM(C194:C200)</f>
        <v>158463</v>
      </c>
      <c r="D192" s="35">
        <f>SUM(D194:D200)</f>
        <v>0</v>
      </c>
      <c r="E192" s="35">
        <f>SUM(E194:E200)</f>
        <v>4210</v>
      </c>
      <c r="F192" s="35">
        <f>SUM(F194:F200)</f>
        <v>2.4700000000000002</v>
      </c>
      <c r="G192" s="142">
        <f t="shared" si="2"/>
        <v>162675.47</v>
      </c>
      <c r="H192" s="77"/>
    </row>
    <row r="193" spans="1:8" ht="12.1" customHeight="1" x14ac:dyDescent="0.25">
      <c r="A193" s="50" t="s">
        <v>25</v>
      </c>
      <c r="B193" s="40"/>
      <c r="C193" s="10"/>
      <c r="D193" s="10"/>
      <c r="E193" s="10"/>
      <c r="F193" s="10"/>
      <c r="G193" s="83"/>
    </row>
    <row r="194" spans="1:8" ht="14.95" customHeight="1" x14ac:dyDescent="0.25">
      <c r="A194" s="47" t="s">
        <v>27</v>
      </c>
      <c r="B194" s="42"/>
      <c r="C194" s="10">
        <v>4240</v>
      </c>
      <c r="D194" s="13">
        <v>0</v>
      </c>
      <c r="E194" s="13">
        <v>0</v>
      </c>
      <c r="F194" s="13">
        <v>0</v>
      </c>
      <c r="G194" s="83">
        <f t="shared" si="2"/>
        <v>4240</v>
      </c>
    </row>
    <row r="195" spans="1:8" ht="27.7" customHeight="1" x14ac:dyDescent="0.25">
      <c r="A195" s="11" t="s">
        <v>114</v>
      </c>
      <c r="B195" s="46" t="s">
        <v>115</v>
      </c>
      <c r="C195" s="10">
        <v>300</v>
      </c>
      <c r="D195" s="13">
        <v>0</v>
      </c>
      <c r="E195" s="13">
        <v>0</v>
      </c>
      <c r="F195" s="13">
        <v>0</v>
      </c>
      <c r="G195" s="83">
        <f t="shared" si="2"/>
        <v>300</v>
      </c>
    </row>
    <row r="196" spans="1:8" ht="14.95" customHeight="1" x14ac:dyDescent="0.25">
      <c r="A196" s="11" t="s">
        <v>237</v>
      </c>
      <c r="B196" s="46" t="s">
        <v>238</v>
      </c>
      <c r="C196" s="10">
        <v>250</v>
      </c>
      <c r="D196" s="13">
        <v>0</v>
      </c>
      <c r="E196" s="13">
        <v>0</v>
      </c>
      <c r="F196" s="13">
        <v>0</v>
      </c>
      <c r="G196" s="83">
        <f t="shared" si="2"/>
        <v>250</v>
      </c>
    </row>
    <row r="197" spans="1:8" ht="14.95" customHeight="1" x14ac:dyDescent="0.25">
      <c r="A197" s="47" t="s">
        <v>116</v>
      </c>
      <c r="B197" s="55"/>
      <c r="C197" s="10">
        <v>10</v>
      </c>
      <c r="D197" s="13">
        <v>0</v>
      </c>
      <c r="E197" s="13">
        <v>0</v>
      </c>
      <c r="F197" s="13">
        <v>0</v>
      </c>
      <c r="G197" s="83">
        <f t="shared" si="2"/>
        <v>10</v>
      </c>
    </row>
    <row r="198" spans="1:8" ht="14.95" customHeight="1" x14ac:dyDescent="0.25">
      <c r="A198" s="47" t="s">
        <v>117</v>
      </c>
      <c r="B198" s="80" t="s">
        <v>259</v>
      </c>
      <c r="C198" s="10">
        <v>180</v>
      </c>
      <c r="D198" s="13">
        <v>0</v>
      </c>
      <c r="E198" s="13">
        <v>20</v>
      </c>
      <c r="F198" s="13">
        <v>0</v>
      </c>
      <c r="G198" s="83">
        <f t="shared" si="2"/>
        <v>200</v>
      </c>
    </row>
    <row r="199" spans="1:8" ht="14.3" customHeight="1" x14ac:dyDescent="0.25">
      <c r="A199" s="47" t="s">
        <v>118</v>
      </c>
      <c r="B199" s="80" t="s">
        <v>259</v>
      </c>
      <c r="C199" s="10">
        <v>810</v>
      </c>
      <c r="D199" s="13">
        <v>0</v>
      </c>
      <c r="E199" s="13">
        <v>190</v>
      </c>
      <c r="F199" s="13">
        <v>0</v>
      </c>
      <c r="G199" s="83">
        <f t="shared" si="2"/>
        <v>1000</v>
      </c>
    </row>
    <row r="200" spans="1:8" ht="14.95" customHeight="1" thickBot="1" x14ac:dyDescent="0.3">
      <c r="A200" s="14" t="s">
        <v>119</v>
      </c>
      <c r="B200" s="56"/>
      <c r="C200" s="21">
        <v>152673</v>
      </c>
      <c r="D200" s="16">
        <v>0</v>
      </c>
      <c r="E200" s="16">
        <v>4000</v>
      </c>
      <c r="F200" s="16">
        <f>2.47</f>
        <v>2.4700000000000002</v>
      </c>
      <c r="G200" s="98">
        <f t="shared" si="2"/>
        <v>156675.47</v>
      </c>
    </row>
    <row r="201" spans="1:8" ht="14.95" customHeight="1" thickBot="1" x14ac:dyDescent="0.3">
      <c r="A201" s="49" t="s">
        <v>120</v>
      </c>
      <c r="B201" s="43"/>
      <c r="C201" s="35">
        <f>SUM(C203:C245)</f>
        <v>176360</v>
      </c>
      <c r="D201" s="35">
        <f>SUM(D203:D245)</f>
        <v>111</v>
      </c>
      <c r="E201" s="35">
        <f>SUM(E203:E245)</f>
        <v>45</v>
      </c>
      <c r="F201" s="35">
        <f>SUM(F203:F245)</f>
        <v>0</v>
      </c>
      <c r="G201" s="142">
        <f t="shared" si="2"/>
        <v>176516</v>
      </c>
      <c r="H201" s="77"/>
    </row>
    <row r="202" spans="1:8" ht="13.6" customHeight="1" x14ac:dyDescent="0.25">
      <c r="A202" s="50" t="s">
        <v>25</v>
      </c>
      <c r="B202" s="40"/>
      <c r="C202" s="10"/>
      <c r="D202" s="10"/>
      <c r="E202" s="10"/>
      <c r="F202" s="10"/>
      <c r="G202" s="83"/>
    </row>
    <row r="203" spans="1:8" ht="27" customHeight="1" x14ac:dyDescent="0.25">
      <c r="A203" s="11" t="s">
        <v>240</v>
      </c>
      <c r="B203" s="46" t="s">
        <v>157</v>
      </c>
      <c r="C203" s="10">
        <v>850</v>
      </c>
      <c r="D203" s="13">
        <v>0</v>
      </c>
      <c r="E203" s="13">
        <v>0</v>
      </c>
      <c r="F203" s="13">
        <v>0</v>
      </c>
      <c r="G203" s="83">
        <f t="shared" si="2"/>
        <v>850</v>
      </c>
    </row>
    <row r="204" spans="1:8" ht="23.95" customHeight="1" x14ac:dyDescent="0.25">
      <c r="A204" s="11" t="s">
        <v>241</v>
      </c>
      <c r="B204" s="46" t="s">
        <v>156</v>
      </c>
      <c r="C204" s="10">
        <v>18500</v>
      </c>
      <c r="D204" s="13">
        <v>0</v>
      </c>
      <c r="E204" s="13">
        <v>0</v>
      </c>
      <c r="F204" s="13">
        <v>0</v>
      </c>
      <c r="G204" s="83">
        <f t="shared" si="2"/>
        <v>18500</v>
      </c>
    </row>
    <row r="205" spans="1:8" ht="25.5" customHeight="1" x14ac:dyDescent="0.25">
      <c r="A205" s="11" t="s">
        <v>242</v>
      </c>
      <c r="B205" s="46" t="s">
        <v>122</v>
      </c>
      <c r="C205" s="10">
        <v>1000</v>
      </c>
      <c r="D205" s="13">
        <v>0</v>
      </c>
      <c r="E205" s="13">
        <v>0</v>
      </c>
      <c r="F205" s="13">
        <v>0</v>
      </c>
      <c r="G205" s="83">
        <f t="shared" si="2"/>
        <v>1000</v>
      </c>
    </row>
    <row r="206" spans="1:8" ht="27" customHeight="1" x14ac:dyDescent="0.25">
      <c r="A206" s="11" t="s">
        <v>243</v>
      </c>
      <c r="B206" s="46" t="s">
        <v>123</v>
      </c>
      <c r="C206" s="10">
        <v>1700</v>
      </c>
      <c r="D206" s="13">
        <v>0</v>
      </c>
      <c r="E206" s="13">
        <v>0</v>
      </c>
      <c r="F206" s="13">
        <v>0</v>
      </c>
      <c r="G206" s="83">
        <f t="shared" si="2"/>
        <v>1700</v>
      </c>
    </row>
    <row r="207" spans="1:8" ht="40.6" customHeight="1" x14ac:dyDescent="0.25">
      <c r="A207" s="11" t="s">
        <v>125</v>
      </c>
      <c r="B207" s="46" t="s">
        <v>230</v>
      </c>
      <c r="C207" s="10">
        <v>11900</v>
      </c>
      <c r="D207" s="13">
        <v>0</v>
      </c>
      <c r="E207" s="13">
        <v>3000</v>
      </c>
      <c r="F207" s="13">
        <v>0</v>
      </c>
      <c r="G207" s="83">
        <f t="shared" si="2"/>
        <v>14900</v>
      </c>
    </row>
    <row r="208" spans="1:8" ht="15.8" customHeight="1" x14ac:dyDescent="0.25">
      <c r="A208" s="11" t="s">
        <v>225</v>
      </c>
      <c r="B208" s="46" t="s">
        <v>230</v>
      </c>
      <c r="C208" s="10">
        <v>5400</v>
      </c>
      <c r="D208" s="13">
        <v>0</v>
      </c>
      <c r="E208" s="13">
        <v>0</v>
      </c>
      <c r="F208" s="13">
        <v>0</v>
      </c>
      <c r="G208" s="83">
        <f t="shared" si="2"/>
        <v>5400</v>
      </c>
    </row>
    <row r="209" spans="1:7" ht="14.95" customHeight="1" x14ac:dyDescent="0.25">
      <c r="A209" s="47" t="s">
        <v>126</v>
      </c>
      <c r="B209" s="46" t="s">
        <v>230</v>
      </c>
      <c r="C209" s="10">
        <v>6609</v>
      </c>
      <c r="D209" s="13">
        <v>0</v>
      </c>
      <c r="E209" s="13">
        <v>45</v>
      </c>
      <c r="F209" s="13">
        <v>0</v>
      </c>
      <c r="G209" s="83">
        <f t="shared" si="2"/>
        <v>6654</v>
      </c>
    </row>
    <row r="210" spans="1:7" ht="52.5" customHeight="1" x14ac:dyDescent="0.25">
      <c r="A210" s="11" t="s">
        <v>127</v>
      </c>
      <c r="B210" s="46" t="s">
        <v>230</v>
      </c>
      <c r="C210" s="10">
        <v>18700</v>
      </c>
      <c r="D210" s="13">
        <v>0</v>
      </c>
      <c r="E210" s="13">
        <v>0</v>
      </c>
      <c r="F210" s="13">
        <v>0</v>
      </c>
      <c r="G210" s="83">
        <f t="shared" si="2"/>
        <v>18700</v>
      </c>
    </row>
    <row r="211" spans="1:7" ht="15.8" customHeight="1" x14ac:dyDescent="0.25">
      <c r="A211" s="11" t="s">
        <v>228</v>
      </c>
      <c r="B211" s="46" t="s">
        <v>230</v>
      </c>
      <c r="C211" s="10">
        <v>27800</v>
      </c>
      <c r="D211" s="13">
        <v>0</v>
      </c>
      <c r="E211" s="13">
        <v>0</v>
      </c>
      <c r="F211" s="13">
        <v>0</v>
      </c>
      <c r="G211" s="83">
        <f t="shared" si="2"/>
        <v>27800</v>
      </c>
    </row>
    <row r="212" spans="1:7" ht="53.35" customHeight="1" x14ac:dyDescent="0.25">
      <c r="A212" s="11" t="s">
        <v>128</v>
      </c>
      <c r="B212" s="46" t="s">
        <v>230</v>
      </c>
      <c r="C212" s="10">
        <v>14900</v>
      </c>
      <c r="D212" s="13">
        <v>0</v>
      </c>
      <c r="E212" s="13">
        <v>0</v>
      </c>
      <c r="F212" s="13">
        <v>0</v>
      </c>
      <c r="G212" s="83">
        <f t="shared" si="2"/>
        <v>14900</v>
      </c>
    </row>
    <row r="213" spans="1:7" ht="18" customHeight="1" x14ac:dyDescent="0.25">
      <c r="A213" s="11" t="s">
        <v>227</v>
      </c>
      <c r="B213" s="46" t="s">
        <v>230</v>
      </c>
      <c r="C213" s="10">
        <v>16000</v>
      </c>
      <c r="D213" s="13">
        <v>0</v>
      </c>
      <c r="E213" s="13">
        <v>0</v>
      </c>
      <c r="F213" s="13">
        <v>0</v>
      </c>
      <c r="G213" s="83">
        <f t="shared" si="2"/>
        <v>16000</v>
      </c>
    </row>
    <row r="214" spans="1:7" ht="50.3" customHeight="1" x14ac:dyDescent="0.25">
      <c r="A214" s="11" t="s">
        <v>129</v>
      </c>
      <c r="B214" s="46" t="s">
        <v>230</v>
      </c>
      <c r="C214" s="10">
        <v>12000</v>
      </c>
      <c r="D214" s="13">
        <v>0</v>
      </c>
      <c r="E214" s="13">
        <v>0</v>
      </c>
      <c r="F214" s="13">
        <v>0</v>
      </c>
      <c r="G214" s="83">
        <f t="shared" si="2"/>
        <v>12000</v>
      </c>
    </row>
    <row r="215" spans="1:7" ht="14.95" customHeight="1" x14ac:dyDescent="0.25">
      <c r="A215" s="11" t="s">
        <v>226</v>
      </c>
      <c r="B215" s="46" t="s">
        <v>230</v>
      </c>
      <c r="C215" s="10">
        <v>5800</v>
      </c>
      <c r="D215" s="13">
        <v>0</v>
      </c>
      <c r="E215" s="13">
        <v>0</v>
      </c>
      <c r="F215" s="13">
        <v>0</v>
      </c>
      <c r="G215" s="83">
        <f t="shared" si="2"/>
        <v>5800</v>
      </c>
    </row>
    <row r="216" spans="1:7" ht="54" customHeight="1" x14ac:dyDescent="0.25">
      <c r="A216" s="11" t="s">
        <v>130</v>
      </c>
      <c r="B216" s="46" t="s">
        <v>230</v>
      </c>
      <c r="C216" s="10">
        <v>11300</v>
      </c>
      <c r="D216" s="13">
        <v>0</v>
      </c>
      <c r="E216" s="13">
        <v>0</v>
      </c>
      <c r="F216" s="13">
        <v>0</v>
      </c>
      <c r="G216" s="83">
        <f t="shared" si="2"/>
        <v>11300</v>
      </c>
    </row>
    <row r="217" spans="1:7" ht="17.350000000000001" customHeight="1" x14ac:dyDescent="0.25">
      <c r="A217" s="11" t="s">
        <v>229</v>
      </c>
      <c r="B217" s="46" t="s">
        <v>230</v>
      </c>
      <c r="C217" s="10">
        <v>7000</v>
      </c>
      <c r="D217" s="13">
        <v>0</v>
      </c>
      <c r="E217" s="13">
        <v>0</v>
      </c>
      <c r="F217" s="13">
        <v>0</v>
      </c>
      <c r="G217" s="83">
        <f t="shared" si="2"/>
        <v>7000</v>
      </c>
    </row>
    <row r="218" spans="1:7" ht="14.95" customHeight="1" x14ac:dyDescent="0.25">
      <c r="A218" s="11" t="s">
        <v>131</v>
      </c>
      <c r="B218" s="46"/>
      <c r="C218" s="10">
        <v>4.5</v>
      </c>
      <c r="D218" s="13">
        <v>0</v>
      </c>
      <c r="E218" s="13">
        <v>0</v>
      </c>
      <c r="F218" s="13">
        <v>0</v>
      </c>
      <c r="G218" s="83">
        <f t="shared" si="2"/>
        <v>4.5</v>
      </c>
    </row>
    <row r="219" spans="1:7" ht="14.95" customHeight="1" x14ac:dyDescent="0.25">
      <c r="A219" s="11" t="s">
        <v>132</v>
      </c>
      <c r="B219" s="46" t="s">
        <v>249</v>
      </c>
      <c r="C219" s="10">
        <v>20</v>
      </c>
      <c r="D219" s="13">
        <v>0</v>
      </c>
      <c r="E219" s="13">
        <v>0</v>
      </c>
      <c r="F219" s="13">
        <v>0</v>
      </c>
      <c r="G219" s="83">
        <f t="shared" si="2"/>
        <v>20</v>
      </c>
    </row>
    <row r="220" spans="1:7" ht="14.95" customHeight="1" x14ac:dyDescent="0.25">
      <c r="A220" s="11" t="s">
        <v>133</v>
      </c>
      <c r="B220" s="46" t="s">
        <v>249</v>
      </c>
      <c r="C220" s="10">
        <v>30</v>
      </c>
      <c r="D220" s="13">
        <v>0</v>
      </c>
      <c r="E220" s="13">
        <v>0</v>
      </c>
      <c r="F220" s="13">
        <v>0</v>
      </c>
      <c r="G220" s="83">
        <f t="shared" si="2"/>
        <v>30</v>
      </c>
    </row>
    <row r="221" spans="1:7" ht="14.95" customHeight="1" x14ac:dyDescent="0.25">
      <c r="A221" s="47" t="s">
        <v>134</v>
      </c>
      <c r="B221" s="46" t="s">
        <v>249</v>
      </c>
      <c r="C221" s="10">
        <v>100</v>
      </c>
      <c r="D221" s="13">
        <v>0</v>
      </c>
      <c r="E221" s="13">
        <v>0</v>
      </c>
      <c r="F221" s="13">
        <v>0</v>
      </c>
      <c r="G221" s="83">
        <f t="shared" si="2"/>
        <v>100</v>
      </c>
    </row>
    <row r="222" spans="1:7" ht="14.95" customHeight="1" x14ac:dyDescent="0.25">
      <c r="A222" s="47" t="s">
        <v>135</v>
      </c>
      <c r="B222" s="46" t="s">
        <v>230</v>
      </c>
      <c r="C222" s="10">
        <v>1050</v>
      </c>
      <c r="D222" s="13">
        <v>0</v>
      </c>
      <c r="E222" s="13">
        <v>0</v>
      </c>
      <c r="F222" s="13">
        <v>0</v>
      </c>
      <c r="G222" s="83">
        <f t="shared" si="2"/>
        <v>1050</v>
      </c>
    </row>
    <row r="223" spans="1:7" ht="14.95" customHeight="1" x14ac:dyDescent="0.25">
      <c r="A223" s="47" t="s">
        <v>136</v>
      </c>
      <c r="B223" s="46" t="s">
        <v>230</v>
      </c>
      <c r="C223" s="10">
        <v>4000</v>
      </c>
      <c r="D223" s="13">
        <v>0</v>
      </c>
      <c r="E223" s="13">
        <v>0</v>
      </c>
      <c r="F223" s="13">
        <v>0</v>
      </c>
      <c r="G223" s="83">
        <f t="shared" si="2"/>
        <v>4000</v>
      </c>
    </row>
    <row r="224" spans="1:7" ht="14.95" customHeight="1" x14ac:dyDescent="0.25">
      <c r="A224" s="47" t="s">
        <v>137</v>
      </c>
      <c r="B224" s="46" t="s">
        <v>249</v>
      </c>
      <c r="C224" s="10">
        <v>90</v>
      </c>
      <c r="D224" s="13">
        <v>0</v>
      </c>
      <c r="E224" s="13">
        <v>0</v>
      </c>
      <c r="F224" s="13">
        <v>0</v>
      </c>
      <c r="G224" s="83">
        <f t="shared" si="2"/>
        <v>90</v>
      </c>
    </row>
    <row r="225" spans="1:7" ht="14.95" customHeight="1" x14ac:dyDescent="0.25">
      <c r="A225" s="47" t="s">
        <v>138</v>
      </c>
      <c r="B225" s="46" t="s">
        <v>230</v>
      </c>
      <c r="C225" s="10">
        <v>50</v>
      </c>
      <c r="D225" s="13">
        <v>0</v>
      </c>
      <c r="E225" s="13">
        <v>0</v>
      </c>
      <c r="F225" s="13">
        <v>0</v>
      </c>
      <c r="G225" s="83">
        <f t="shared" si="2"/>
        <v>50</v>
      </c>
    </row>
    <row r="226" spans="1:7" ht="14.95" customHeight="1" x14ac:dyDescent="0.25">
      <c r="A226" s="47" t="s">
        <v>139</v>
      </c>
      <c r="B226" s="46" t="s">
        <v>230</v>
      </c>
      <c r="C226" s="10">
        <v>100</v>
      </c>
      <c r="D226" s="13">
        <v>0</v>
      </c>
      <c r="E226" s="13">
        <v>0</v>
      </c>
      <c r="F226" s="13">
        <v>0</v>
      </c>
      <c r="G226" s="83">
        <f t="shared" si="2"/>
        <v>100</v>
      </c>
    </row>
    <row r="227" spans="1:7" ht="14.95" customHeight="1" x14ac:dyDescent="0.25">
      <c r="A227" s="47" t="s">
        <v>140</v>
      </c>
      <c r="B227" s="46" t="s">
        <v>230</v>
      </c>
      <c r="C227" s="10">
        <v>650</v>
      </c>
      <c r="D227" s="13">
        <v>0</v>
      </c>
      <c r="E227" s="13">
        <v>0</v>
      </c>
      <c r="F227" s="13">
        <v>0</v>
      </c>
      <c r="G227" s="83">
        <f t="shared" si="2"/>
        <v>650</v>
      </c>
    </row>
    <row r="228" spans="1:7" ht="14.95" customHeight="1" x14ac:dyDescent="0.25">
      <c r="A228" s="54" t="s">
        <v>141</v>
      </c>
      <c r="B228" s="46" t="s">
        <v>249</v>
      </c>
      <c r="C228" s="10">
        <v>45</v>
      </c>
      <c r="D228" s="13">
        <v>0</v>
      </c>
      <c r="E228" s="13">
        <v>0</v>
      </c>
      <c r="F228" s="13">
        <v>0</v>
      </c>
      <c r="G228" s="83">
        <f t="shared" si="2"/>
        <v>45</v>
      </c>
    </row>
    <row r="229" spans="1:7" ht="14.95" customHeight="1" x14ac:dyDescent="0.25">
      <c r="A229" s="11" t="s">
        <v>142</v>
      </c>
      <c r="B229" s="46" t="s">
        <v>249</v>
      </c>
      <c r="C229" s="10">
        <v>30</v>
      </c>
      <c r="D229" s="13">
        <v>0</v>
      </c>
      <c r="E229" s="13">
        <v>0</v>
      </c>
      <c r="F229" s="13">
        <v>0</v>
      </c>
      <c r="G229" s="83">
        <f t="shared" si="2"/>
        <v>30</v>
      </c>
    </row>
    <row r="230" spans="1:7" ht="14.95" customHeight="1" x14ac:dyDescent="0.25">
      <c r="A230" s="54" t="s">
        <v>143</v>
      </c>
      <c r="B230" s="46" t="s">
        <v>249</v>
      </c>
      <c r="C230" s="10">
        <v>45</v>
      </c>
      <c r="D230" s="13">
        <v>0</v>
      </c>
      <c r="E230" s="13">
        <v>0</v>
      </c>
      <c r="F230" s="13">
        <v>0</v>
      </c>
      <c r="G230" s="83">
        <f t="shared" si="2"/>
        <v>45</v>
      </c>
    </row>
    <row r="231" spans="1:7" ht="14.95" customHeight="1" x14ac:dyDescent="0.25">
      <c r="A231" s="54" t="s">
        <v>343</v>
      </c>
      <c r="B231" s="46" t="s">
        <v>230</v>
      </c>
      <c r="C231" s="10">
        <v>0</v>
      </c>
      <c r="D231" s="13">
        <v>0</v>
      </c>
      <c r="E231" s="13">
        <v>0</v>
      </c>
      <c r="F231" s="13">
        <f>45</f>
        <v>45</v>
      </c>
      <c r="G231" s="83">
        <f>SUM(C231:F231)</f>
        <v>45</v>
      </c>
    </row>
    <row r="232" spans="1:7" ht="14.95" customHeight="1" x14ac:dyDescent="0.25">
      <c r="A232" s="54" t="s">
        <v>144</v>
      </c>
      <c r="B232" s="46" t="s">
        <v>230</v>
      </c>
      <c r="C232" s="10">
        <v>50</v>
      </c>
      <c r="D232" s="13">
        <v>0</v>
      </c>
      <c r="E232" s="13">
        <v>0</v>
      </c>
      <c r="F232" s="13">
        <v>0</v>
      </c>
      <c r="G232" s="83">
        <f t="shared" si="2"/>
        <v>50</v>
      </c>
    </row>
    <row r="233" spans="1:7" ht="29.25" customHeight="1" x14ac:dyDescent="0.25">
      <c r="A233" s="54" t="s">
        <v>341</v>
      </c>
      <c r="B233" s="46" t="s">
        <v>230</v>
      </c>
      <c r="C233" s="10">
        <v>0</v>
      </c>
      <c r="D233" s="13">
        <v>0</v>
      </c>
      <c r="E233" s="13">
        <v>0</v>
      </c>
      <c r="F233" s="13">
        <f>30</f>
        <v>30</v>
      </c>
      <c r="G233" s="83">
        <f>SUM(C233:F233)</f>
        <v>30</v>
      </c>
    </row>
    <row r="234" spans="1:7" ht="17.350000000000001" customHeight="1" x14ac:dyDescent="0.25">
      <c r="A234" s="54" t="s">
        <v>366</v>
      </c>
      <c r="B234" s="46" t="s">
        <v>253</v>
      </c>
      <c r="C234" s="10">
        <v>0</v>
      </c>
      <c r="D234" s="13">
        <v>0</v>
      </c>
      <c r="E234" s="13">
        <v>0</v>
      </c>
      <c r="F234" s="13">
        <f>20</f>
        <v>20</v>
      </c>
      <c r="G234" s="83">
        <f>SUM(C234:F234)</f>
        <v>20</v>
      </c>
    </row>
    <row r="235" spans="1:7" ht="15.8" customHeight="1" x14ac:dyDescent="0.25">
      <c r="A235" s="11" t="s">
        <v>145</v>
      </c>
      <c r="B235" s="46" t="s">
        <v>230</v>
      </c>
      <c r="C235" s="10">
        <v>668</v>
      </c>
      <c r="D235" s="13">
        <v>0</v>
      </c>
      <c r="E235" s="13">
        <v>0</v>
      </c>
      <c r="F235" s="13">
        <v>0</v>
      </c>
      <c r="G235" s="83">
        <f t="shared" si="2"/>
        <v>668</v>
      </c>
    </row>
    <row r="236" spans="1:7" ht="14.95" customHeight="1" x14ac:dyDescent="0.25">
      <c r="A236" s="11" t="s">
        <v>146</v>
      </c>
      <c r="B236" s="46" t="s">
        <v>230</v>
      </c>
      <c r="C236" s="10">
        <v>526</v>
      </c>
      <c r="D236" s="13">
        <v>0</v>
      </c>
      <c r="E236" s="13">
        <v>0</v>
      </c>
      <c r="F236" s="13">
        <v>0</v>
      </c>
      <c r="G236" s="83">
        <f t="shared" si="2"/>
        <v>526</v>
      </c>
    </row>
    <row r="237" spans="1:7" ht="14.95" customHeight="1" x14ac:dyDescent="0.25">
      <c r="A237" s="11" t="s">
        <v>147</v>
      </c>
      <c r="B237" s="46" t="s">
        <v>230</v>
      </c>
      <c r="C237" s="10">
        <v>162</v>
      </c>
      <c r="D237" s="13">
        <v>0</v>
      </c>
      <c r="E237" s="13">
        <v>0</v>
      </c>
      <c r="F237" s="13">
        <v>0</v>
      </c>
      <c r="G237" s="83">
        <f t="shared" ref="G237:G302" si="3">SUM(C237:F237)</f>
        <v>162</v>
      </c>
    </row>
    <row r="238" spans="1:7" ht="14.95" customHeight="1" x14ac:dyDescent="0.25">
      <c r="A238" s="11" t="s">
        <v>148</v>
      </c>
      <c r="B238" s="46" t="s">
        <v>230</v>
      </c>
      <c r="C238" s="10">
        <v>541</v>
      </c>
      <c r="D238" s="13">
        <v>0</v>
      </c>
      <c r="E238" s="13">
        <v>0</v>
      </c>
      <c r="F238" s="13">
        <v>0</v>
      </c>
      <c r="G238" s="83">
        <f t="shared" si="3"/>
        <v>541</v>
      </c>
    </row>
    <row r="239" spans="1:7" ht="14.95" customHeight="1" x14ac:dyDescent="0.25">
      <c r="A239" s="11" t="s">
        <v>149</v>
      </c>
      <c r="B239" s="46" t="s">
        <v>230</v>
      </c>
      <c r="C239" s="10">
        <v>200</v>
      </c>
      <c r="D239" s="13">
        <v>0</v>
      </c>
      <c r="E239" s="13">
        <v>0</v>
      </c>
      <c r="F239" s="13">
        <v>0</v>
      </c>
      <c r="G239" s="83">
        <f t="shared" si="3"/>
        <v>200</v>
      </c>
    </row>
    <row r="240" spans="1:7" ht="26.35" customHeight="1" x14ac:dyDescent="0.25">
      <c r="A240" s="11" t="s">
        <v>342</v>
      </c>
      <c r="B240" s="46" t="s">
        <v>230</v>
      </c>
      <c r="C240" s="10">
        <v>0</v>
      </c>
      <c r="D240" s="13">
        <v>0</v>
      </c>
      <c r="E240" s="13">
        <v>0</v>
      </c>
      <c r="F240" s="13">
        <f>35</f>
        <v>35</v>
      </c>
      <c r="G240" s="83">
        <f>SUM(C240:F240)</f>
        <v>35</v>
      </c>
    </row>
    <row r="241" spans="1:8" ht="27.7" customHeight="1" x14ac:dyDescent="0.25">
      <c r="A241" s="11" t="s">
        <v>340</v>
      </c>
      <c r="B241" s="46" t="s">
        <v>230</v>
      </c>
      <c r="C241" s="10">
        <v>0</v>
      </c>
      <c r="D241" s="13">
        <v>0</v>
      </c>
      <c r="E241" s="13">
        <v>0</v>
      </c>
      <c r="F241" s="13">
        <f>35</f>
        <v>35</v>
      </c>
      <c r="G241" s="83">
        <f>SUM(C241:F241)</f>
        <v>35</v>
      </c>
    </row>
    <row r="242" spans="1:8" ht="14.95" customHeight="1" x14ac:dyDescent="0.25">
      <c r="A242" s="11" t="s">
        <v>272</v>
      </c>
      <c r="B242" s="46" t="s">
        <v>230</v>
      </c>
      <c r="C242" s="10">
        <v>0</v>
      </c>
      <c r="D242" s="13">
        <f>35</f>
        <v>35</v>
      </c>
      <c r="E242" s="13">
        <v>0</v>
      </c>
      <c r="F242" s="13">
        <v>0</v>
      </c>
      <c r="G242" s="83">
        <f t="shared" si="3"/>
        <v>35</v>
      </c>
    </row>
    <row r="243" spans="1:8" ht="13.6" customHeight="1" x14ac:dyDescent="0.25">
      <c r="A243" s="26" t="s">
        <v>150</v>
      </c>
      <c r="B243" s="46" t="s">
        <v>230</v>
      </c>
      <c r="C243" s="10">
        <v>200</v>
      </c>
      <c r="D243" s="13">
        <v>0</v>
      </c>
      <c r="E243" s="13">
        <v>0</v>
      </c>
      <c r="F243" s="13">
        <v>0</v>
      </c>
      <c r="G243" s="83">
        <f t="shared" si="3"/>
        <v>200</v>
      </c>
    </row>
    <row r="244" spans="1:8" ht="14.95" customHeight="1" x14ac:dyDescent="0.25">
      <c r="A244" s="11" t="s">
        <v>151</v>
      </c>
      <c r="B244" s="46" t="s">
        <v>230</v>
      </c>
      <c r="C244" s="10">
        <v>100</v>
      </c>
      <c r="D244" s="13">
        <v>0</v>
      </c>
      <c r="E244" s="13">
        <v>0</v>
      </c>
      <c r="F244" s="13">
        <v>0</v>
      </c>
      <c r="G244" s="83">
        <f t="shared" si="3"/>
        <v>100</v>
      </c>
    </row>
    <row r="245" spans="1:8" ht="16.5" customHeight="1" thickBot="1" x14ac:dyDescent="0.3">
      <c r="A245" s="48" t="s">
        <v>152</v>
      </c>
      <c r="B245" s="67"/>
      <c r="C245" s="16">
        <v>8239.5</v>
      </c>
      <c r="D245" s="16">
        <f>76</f>
        <v>76</v>
      </c>
      <c r="E245" s="16">
        <v>-3000</v>
      </c>
      <c r="F245" s="16">
        <f>-145-20</f>
        <v>-165</v>
      </c>
      <c r="G245" s="144">
        <f t="shared" si="3"/>
        <v>5150.5</v>
      </c>
    </row>
    <row r="246" spans="1:8" ht="14.95" customHeight="1" thickBot="1" x14ac:dyDescent="0.3">
      <c r="A246" s="49" t="s">
        <v>153</v>
      </c>
      <c r="B246" s="43"/>
      <c r="C246" s="35">
        <f>SUM(C248:C248)</f>
        <v>2548</v>
      </c>
      <c r="D246" s="35">
        <f>SUM(D248)</f>
        <v>4319</v>
      </c>
      <c r="E246" s="35">
        <f>SUM(E248)</f>
        <v>2170</v>
      </c>
      <c r="F246" s="35">
        <f>SUM(F248)</f>
        <v>109</v>
      </c>
      <c r="G246" s="142">
        <f t="shared" si="3"/>
        <v>9146</v>
      </c>
      <c r="H246" s="77"/>
    </row>
    <row r="247" spans="1:8" ht="12.75" customHeight="1" x14ac:dyDescent="0.25">
      <c r="A247" s="50" t="s">
        <v>25</v>
      </c>
      <c r="B247" s="40"/>
      <c r="C247" s="10"/>
      <c r="D247" s="10"/>
      <c r="E247" s="10"/>
      <c r="F247" s="10"/>
      <c r="G247" s="83"/>
    </row>
    <row r="248" spans="1:8" ht="18" customHeight="1" thickBot="1" x14ac:dyDescent="0.3">
      <c r="A248" s="48" t="s">
        <v>154</v>
      </c>
      <c r="B248" s="38"/>
      <c r="C248" s="16">
        <v>2548</v>
      </c>
      <c r="D248" s="16">
        <f>605+64+650+3000</f>
        <v>4319</v>
      </c>
      <c r="E248" s="16">
        <v>2170</v>
      </c>
      <c r="F248" s="16">
        <f>109</f>
        <v>109</v>
      </c>
      <c r="G248" s="144">
        <f t="shared" si="3"/>
        <v>9146</v>
      </c>
    </row>
    <row r="249" spans="1:8" ht="14.3" customHeight="1" thickBot="1" x14ac:dyDescent="0.3">
      <c r="A249" s="49" t="s">
        <v>155</v>
      </c>
      <c r="B249" s="43"/>
      <c r="C249" s="35">
        <f>SUM(C251:C266)</f>
        <v>19921.5</v>
      </c>
      <c r="D249" s="35">
        <f>SUM(D251:D266)</f>
        <v>202.87</v>
      </c>
      <c r="E249" s="35">
        <f>SUM(E251:E266)</f>
        <v>228.54</v>
      </c>
      <c r="F249" s="35">
        <f>SUM(F251:F266)</f>
        <v>0</v>
      </c>
      <c r="G249" s="142">
        <f t="shared" si="3"/>
        <v>20352.91</v>
      </c>
      <c r="H249" s="77"/>
    </row>
    <row r="250" spans="1:8" ht="12.75" customHeight="1" x14ac:dyDescent="0.25">
      <c r="A250" s="50" t="s">
        <v>25</v>
      </c>
      <c r="B250" s="40"/>
      <c r="C250" s="10"/>
      <c r="D250" s="10"/>
      <c r="E250" s="10"/>
      <c r="F250" s="10"/>
      <c r="G250" s="83"/>
    </row>
    <row r="251" spans="1:8" ht="26.35" customHeight="1" x14ac:dyDescent="0.25">
      <c r="A251" s="11" t="s">
        <v>245</v>
      </c>
      <c r="B251" s="46" t="s">
        <v>203</v>
      </c>
      <c r="C251" s="10">
        <v>600</v>
      </c>
      <c r="D251" s="13">
        <v>0</v>
      </c>
      <c r="E251" s="13">
        <v>0</v>
      </c>
      <c r="F251" s="13">
        <v>0</v>
      </c>
      <c r="G251" s="83">
        <f t="shared" si="3"/>
        <v>600</v>
      </c>
    </row>
    <row r="252" spans="1:8" ht="14.95" customHeight="1" x14ac:dyDescent="0.25">
      <c r="A252" s="11" t="s">
        <v>244</v>
      </c>
      <c r="B252" s="46" t="s">
        <v>124</v>
      </c>
      <c r="C252" s="10">
        <v>660</v>
      </c>
      <c r="D252" s="13">
        <v>0</v>
      </c>
      <c r="E252" s="13">
        <v>0</v>
      </c>
      <c r="F252" s="13">
        <v>0</v>
      </c>
      <c r="G252" s="83">
        <f t="shared" si="3"/>
        <v>660</v>
      </c>
    </row>
    <row r="253" spans="1:8" ht="26.35" customHeight="1" x14ac:dyDescent="0.25">
      <c r="A253" s="11" t="s">
        <v>246</v>
      </c>
      <c r="B253" s="46" t="s">
        <v>247</v>
      </c>
      <c r="C253" s="10">
        <v>300</v>
      </c>
      <c r="D253" s="13">
        <v>0</v>
      </c>
      <c r="E253" s="13">
        <v>0</v>
      </c>
      <c r="F253" s="13">
        <v>0</v>
      </c>
      <c r="G253" s="83">
        <f t="shared" si="3"/>
        <v>300</v>
      </c>
    </row>
    <row r="254" spans="1:8" ht="14.95" customHeight="1" x14ac:dyDescent="0.25">
      <c r="A254" s="11" t="s">
        <v>159</v>
      </c>
      <c r="B254" s="46" t="s">
        <v>230</v>
      </c>
      <c r="C254" s="10">
        <v>7622</v>
      </c>
      <c r="D254" s="13">
        <v>0</v>
      </c>
      <c r="E254" s="13">
        <v>413</v>
      </c>
      <c r="F254" s="13">
        <v>0</v>
      </c>
      <c r="G254" s="83">
        <f t="shared" si="3"/>
        <v>8035</v>
      </c>
    </row>
    <row r="255" spans="1:8" ht="23.95" customHeight="1" x14ac:dyDescent="0.25">
      <c r="A255" s="11" t="s">
        <v>160</v>
      </c>
      <c r="B255" s="46" t="s">
        <v>253</v>
      </c>
      <c r="C255" s="10">
        <v>850</v>
      </c>
      <c r="D255" s="13">
        <v>0</v>
      </c>
      <c r="E255" s="13">
        <v>0</v>
      </c>
      <c r="F255" s="13">
        <v>0</v>
      </c>
      <c r="G255" s="83">
        <f t="shared" si="3"/>
        <v>850</v>
      </c>
    </row>
    <row r="256" spans="1:8" ht="27.7" customHeight="1" x14ac:dyDescent="0.25">
      <c r="A256" s="11" t="s">
        <v>161</v>
      </c>
      <c r="B256" s="46"/>
      <c r="C256" s="10">
        <v>355</v>
      </c>
      <c r="D256" s="13">
        <v>0</v>
      </c>
      <c r="E256" s="13">
        <v>0</v>
      </c>
      <c r="F256" s="13">
        <v>0</v>
      </c>
      <c r="G256" s="83">
        <f t="shared" si="3"/>
        <v>355</v>
      </c>
    </row>
    <row r="257" spans="1:8" ht="15.8" customHeight="1" x14ac:dyDescent="0.25">
      <c r="A257" s="47" t="s">
        <v>162</v>
      </c>
      <c r="B257" s="46" t="s">
        <v>254</v>
      </c>
      <c r="C257" s="10">
        <v>500</v>
      </c>
      <c r="D257" s="13">
        <v>0</v>
      </c>
      <c r="E257" s="13">
        <v>0</v>
      </c>
      <c r="F257" s="13">
        <v>0</v>
      </c>
      <c r="G257" s="83">
        <f t="shared" si="3"/>
        <v>500</v>
      </c>
    </row>
    <row r="258" spans="1:8" ht="17.350000000000001" customHeight="1" x14ac:dyDescent="0.25">
      <c r="A258" s="11" t="s">
        <v>163</v>
      </c>
      <c r="B258" s="46"/>
      <c r="C258" s="10">
        <v>70</v>
      </c>
      <c r="D258" s="13">
        <v>0</v>
      </c>
      <c r="E258" s="13">
        <v>0</v>
      </c>
      <c r="F258" s="13">
        <v>0</v>
      </c>
      <c r="G258" s="83">
        <f t="shared" si="3"/>
        <v>70</v>
      </c>
    </row>
    <row r="259" spans="1:8" ht="27.7" customHeight="1" x14ac:dyDescent="0.25">
      <c r="A259" s="26" t="s">
        <v>250</v>
      </c>
      <c r="B259" s="46"/>
      <c r="C259" s="10">
        <v>500</v>
      </c>
      <c r="D259" s="13">
        <v>0</v>
      </c>
      <c r="E259" s="13">
        <v>-74.36</v>
      </c>
      <c r="F259" s="13">
        <v>0</v>
      </c>
      <c r="G259" s="83">
        <f t="shared" si="3"/>
        <v>425.64</v>
      </c>
    </row>
    <row r="260" spans="1:8" ht="15.8" customHeight="1" x14ac:dyDescent="0.25">
      <c r="A260" s="47" t="s">
        <v>164</v>
      </c>
      <c r="B260" s="46"/>
      <c r="C260" s="10">
        <v>1</v>
      </c>
      <c r="D260" s="13">
        <v>0</v>
      </c>
      <c r="E260" s="13">
        <v>0</v>
      </c>
      <c r="F260" s="13">
        <v>0</v>
      </c>
      <c r="G260" s="83">
        <f t="shared" si="3"/>
        <v>1</v>
      </c>
    </row>
    <row r="261" spans="1:8" ht="13.6" customHeight="1" x14ac:dyDescent="0.25">
      <c r="A261" s="47" t="s">
        <v>165</v>
      </c>
      <c r="B261" s="46"/>
      <c r="C261" s="10">
        <v>199</v>
      </c>
      <c r="D261" s="13">
        <v>0</v>
      </c>
      <c r="E261" s="13">
        <v>0</v>
      </c>
      <c r="F261" s="13">
        <v>0</v>
      </c>
      <c r="G261" s="83">
        <f t="shared" si="3"/>
        <v>199</v>
      </c>
    </row>
    <row r="262" spans="1:8" ht="14.95" customHeight="1" x14ac:dyDescent="0.25">
      <c r="A262" s="47" t="s">
        <v>166</v>
      </c>
      <c r="B262" s="46"/>
      <c r="C262" s="10">
        <v>15</v>
      </c>
      <c r="D262" s="13">
        <v>0</v>
      </c>
      <c r="E262" s="13">
        <v>0</v>
      </c>
      <c r="F262" s="13">
        <v>0</v>
      </c>
      <c r="G262" s="83">
        <f t="shared" si="3"/>
        <v>15</v>
      </c>
    </row>
    <row r="263" spans="1:8" ht="14.95" customHeight="1" x14ac:dyDescent="0.25">
      <c r="A263" s="11" t="s">
        <v>167</v>
      </c>
      <c r="B263" s="46"/>
      <c r="C263" s="10">
        <v>500</v>
      </c>
      <c r="D263" s="13">
        <v>0</v>
      </c>
      <c r="E263" s="13">
        <v>-220</v>
      </c>
      <c r="F263" s="13">
        <v>0</v>
      </c>
      <c r="G263" s="83">
        <f t="shared" si="3"/>
        <v>280</v>
      </c>
    </row>
    <row r="264" spans="1:8" ht="26.35" customHeight="1" x14ac:dyDescent="0.25">
      <c r="A264" s="11" t="s">
        <v>281</v>
      </c>
      <c r="B264" s="46"/>
      <c r="C264" s="10">
        <v>0</v>
      </c>
      <c r="D264" s="13">
        <v>0</v>
      </c>
      <c r="E264" s="13">
        <v>20</v>
      </c>
      <c r="F264" s="13">
        <v>0</v>
      </c>
      <c r="G264" s="83">
        <f t="shared" si="3"/>
        <v>20</v>
      </c>
    </row>
    <row r="265" spans="1:8" ht="14.3" customHeight="1" x14ac:dyDescent="0.25">
      <c r="A265" s="11" t="s">
        <v>251</v>
      </c>
      <c r="B265" s="46" t="s">
        <v>256</v>
      </c>
      <c r="C265" s="10">
        <v>166.03</v>
      </c>
      <c r="D265" s="81">
        <v>0</v>
      </c>
      <c r="E265" s="81">
        <v>0</v>
      </c>
      <c r="F265" s="81">
        <v>0</v>
      </c>
      <c r="G265" s="83">
        <f t="shared" si="3"/>
        <v>166.03</v>
      </c>
    </row>
    <row r="266" spans="1:8" ht="27" customHeight="1" thickBot="1" x14ac:dyDescent="0.3">
      <c r="A266" s="14" t="s">
        <v>168</v>
      </c>
      <c r="B266" s="38"/>
      <c r="C266" s="16">
        <v>7583.47</v>
      </c>
      <c r="D266" s="16">
        <f>24.46+178.41</f>
        <v>202.87</v>
      </c>
      <c r="E266" s="16">
        <v>89.9</v>
      </c>
      <c r="F266" s="16">
        <v>0</v>
      </c>
      <c r="G266" s="98">
        <f t="shared" si="3"/>
        <v>7876.24</v>
      </c>
    </row>
    <row r="267" spans="1:8" ht="16.3" customHeight="1" thickBot="1" x14ac:dyDescent="0.3">
      <c r="A267" s="49" t="s">
        <v>169</v>
      </c>
      <c r="B267" s="43"/>
      <c r="C267" s="35">
        <f>SUM(C269:C270)</f>
        <v>62816</v>
      </c>
      <c r="D267" s="35">
        <f>SUM(D269:D270)</f>
        <v>0</v>
      </c>
      <c r="E267" s="35">
        <f>SUM(E269:E270)</f>
        <v>0</v>
      </c>
      <c r="F267" s="35">
        <f>SUM(F269:F270)</f>
        <v>0</v>
      </c>
      <c r="G267" s="142">
        <f t="shared" si="3"/>
        <v>62816</v>
      </c>
      <c r="H267" s="77"/>
    </row>
    <row r="268" spans="1:8" ht="13.6" customHeight="1" x14ac:dyDescent="0.25">
      <c r="A268" s="50" t="s">
        <v>25</v>
      </c>
      <c r="B268" s="40"/>
      <c r="C268" s="10"/>
      <c r="D268" s="10"/>
      <c r="E268" s="10"/>
      <c r="F268" s="10"/>
      <c r="G268" s="83"/>
    </row>
    <row r="269" spans="1:8" ht="17.350000000000001" customHeight="1" x14ac:dyDescent="0.25">
      <c r="A269" s="47" t="s">
        <v>27</v>
      </c>
      <c r="B269" s="42"/>
      <c r="C269" s="10">
        <v>400</v>
      </c>
      <c r="D269" s="13">
        <v>0</v>
      </c>
      <c r="E269" s="13">
        <v>0</v>
      </c>
      <c r="F269" s="13">
        <v>0</v>
      </c>
      <c r="G269" s="83">
        <f t="shared" si="3"/>
        <v>400</v>
      </c>
    </row>
    <row r="270" spans="1:8" ht="15.8" customHeight="1" thickBot="1" x14ac:dyDescent="0.3">
      <c r="A270" s="48" t="s">
        <v>170</v>
      </c>
      <c r="B270" s="38"/>
      <c r="C270" s="21">
        <v>62416</v>
      </c>
      <c r="D270" s="16">
        <v>0</v>
      </c>
      <c r="E270" s="16">
        <v>0</v>
      </c>
      <c r="F270" s="16">
        <v>0</v>
      </c>
      <c r="G270" s="98">
        <f t="shared" si="3"/>
        <v>62416</v>
      </c>
    </row>
    <row r="271" spans="1:8" ht="16.5" customHeight="1" thickBot="1" x14ac:dyDescent="0.3">
      <c r="A271" s="49" t="s">
        <v>171</v>
      </c>
      <c r="B271" s="43"/>
      <c r="C271" s="35">
        <f>SUM(C273:C274)</f>
        <v>23860.5</v>
      </c>
      <c r="D271" s="35">
        <f>SUM(D273:D274)</f>
        <v>-312</v>
      </c>
      <c r="E271" s="35">
        <f>SUM(E273:E274)</f>
        <v>2000</v>
      </c>
      <c r="F271" s="35">
        <f>SUM(F273:F274)</f>
        <v>1127.94</v>
      </c>
      <c r="G271" s="142">
        <f t="shared" si="3"/>
        <v>26676.44</v>
      </c>
      <c r="H271" s="77"/>
    </row>
    <row r="272" spans="1:8" ht="14.95" customHeight="1" x14ac:dyDescent="0.25">
      <c r="A272" s="50" t="s">
        <v>25</v>
      </c>
      <c r="B272" s="40"/>
      <c r="C272" s="10"/>
      <c r="D272" s="10"/>
      <c r="E272" s="10"/>
      <c r="F272" s="10"/>
      <c r="G272" s="83"/>
    </row>
    <row r="273" spans="1:8" ht="15.8" customHeight="1" x14ac:dyDescent="0.25">
      <c r="A273" s="11" t="s">
        <v>27</v>
      </c>
      <c r="B273" s="42"/>
      <c r="C273" s="10">
        <v>100</v>
      </c>
      <c r="D273" s="13">
        <v>0</v>
      </c>
      <c r="E273" s="13">
        <v>0</v>
      </c>
      <c r="F273" s="13">
        <f>3.99</f>
        <v>3.99</v>
      </c>
      <c r="G273" s="83">
        <f t="shared" si="3"/>
        <v>103.99</v>
      </c>
    </row>
    <row r="274" spans="1:8" ht="16.5" customHeight="1" thickBot="1" x14ac:dyDescent="0.3">
      <c r="A274" s="14" t="s">
        <v>172</v>
      </c>
      <c r="B274" s="38"/>
      <c r="C274" s="16">
        <v>23760.5</v>
      </c>
      <c r="D274" s="16">
        <f>-150-162</f>
        <v>-312</v>
      </c>
      <c r="E274" s="16">
        <v>2000</v>
      </c>
      <c r="F274" s="16">
        <f>413.82+710.13</f>
        <v>1123.95</v>
      </c>
      <c r="G274" s="98">
        <f t="shared" si="3"/>
        <v>26572.45</v>
      </c>
    </row>
    <row r="275" spans="1:8" ht="15.8" customHeight="1" thickBot="1" x14ac:dyDescent="0.3">
      <c r="A275" s="57" t="s">
        <v>173</v>
      </c>
      <c r="B275" s="43"/>
      <c r="C275" s="35">
        <f>SUM(C277:C278)</f>
        <v>5804</v>
      </c>
      <c r="D275" s="35">
        <f>SUM(D277:D278)</f>
        <v>0</v>
      </c>
      <c r="E275" s="35">
        <f>SUM(E277:E278)</f>
        <v>2675</v>
      </c>
      <c r="F275" s="35">
        <f>SUM(F277:F278)</f>
        <v>0</v>
      </c>
      <c r="G275" s="142">
        <f t="shared" si="3"/>
        <v>8479</v>
      </c>
      <c r="H275" s="77"/>
    </row>
    <row r="276" spans="1:8" ht="13.6" customHeight="1" x14ac:dyDescent="0.25">
      <c r="A276" s="50" t="s">
        <v>25</v>
      </c>
      <c r="B276" s="40"/>
      <c r="C276" s="10"/>
      <c r="D276" s="10"/>
      <c r="E276" s="10"/>
      <c r="F276" s="10"/>
      <c r="G276" s="83"/>
    </row>
    <row r="277" spans="1:8" ht="17.350000000000001" customHeight="1" x14ac:dyDescent="0.25">
      <c r="A277" s="47" t="s">
        <v>27</v>
      </c>
      <c r="B277" s="42"/>
      <c r="C277" s="10">
        <v>410</v>
      </c>
      <c r="D277" s="13">
        <v>0</v>
      </c>
      <c r="E277" s="13">
        <v>0</v>
      </c>
      <c r="F277" s="13">
        <v>0</v>
      </c>
      <c r="G277" s="83">
        <f t="shared" si="3"/>
        <v>410</v>
      </c>
    </row>
    <row r="278" spans="1:8" ht="27" customHeight="1" thickBot="1" x14ac:dyDescent="0.3">
      <c r="A278" s="14" t="s">
        <v>174</v>
      </c>
      <c r="B278" s="38"/>
      <c r="C278" s="16">
        <v>5394</v>
      </c>
      <c r="D278" s="16">
        <v>0</v>
      </c>
      <c r="E278" s="16">
        <v>2675</v>
      </c>
      <c r="F278" s="16">
        <v>0</v>
      </c>
      <c r="G278" s="98">
        <f t="shared" si="3"/>
        <v>8069</v>
      </c>
    </row>
    <row r="279" spans="1:8" ht="16.5" customHeight="1" thickBot="1" x14ac:dyDescent="0.3">
      <c r="A279" s="58" t="s">
        <v>175</v>
      </c>
      <c r="B279" s="59"/>
      <c r="C279" s="60">
        <f>C24+C39+C44+C52+C56+C61+C180+C192+C201+C246+C249+C267+C271+C275</f>
        <v>1647096.9</v>
      </c>
      <c r="D279" s="60">
        <f>SUM(D24+D39+D44+D52+D56+D61+D180+D192+D201+D246+D249+D267+D271+D275)</f>
        <v>4212.7300000000005</v>
      </c>
      <c r="E279" s="60">
        <f>SUM(E24+E39+E44+E52+E56+E61+E180+E192+E201+E246+E249+E267+E271+E275)</f>
        <v>65505.52</v>
      </c>
      <c r="F279" s="60">
        <f>SUM(F24+F39+F44+F52+F56+F61+F180+F192+F201+F246+F249+F267+F271+F275)</f>
        <v>14299.939999999999</v>
      </c>
      <c r="G279" s="136">
        <f t="shared" si="3"/>
        <v>1731115.0899999999</v>
      </c>
      <c r="H279" s="77"/>
    </row>
    <row r="280" spans="1:8" ht="13.6" customHeight="1" thickBot="1" x14ac:dyDescent="0.3">
      <c r="A280" s="156"/>
      <c r="B280" s="159"/>
      <c r="C280" s="21"/>
      <c r="D280" s="21"/>
      <c r="E280" s="21"/>
      <c r="F280" s="21"/>
      <c r="G280" s="98"/>
    </row>
    <row r="281" spans="1:8" ht="15.8" customHeight="1" thickBot="1" x14ac:dyDescent="0.3">
      <c r="A281" s="157" t="s">
        <v>176</v>
      </c>
      <c r="B281" s="106"/>
      <c r="C281" s="32"/>
      <c r="D281" s="32"/>
      <c r="E281" s="32"/>
      <c r="F281" s="32"/>
      <c r="G281" s="137"/>
    </row>
    <row r="282" spans="1:8" ht="27.7" customHeight="1" thickBot="1" x14ac:dyDescent="0.3">
      <c r="A282" s="155" t="s">
        <v>346</v>
      </c>
      <c r="B282" s="160"/>
      <c r="C282" s="35">
        <f>SUM(C284)</f>
        <v>0</v>
      </c>
      <c r="D282" s="35">
        <f>SUM(D284)</f>
        <v>0</v>
      </c>
      <c r="E282" s="35">
        <f>SUM(E283:E284)</f>
        <v>0</v>
      </c>
      <c r="F282" s="35">
        <f>SUM(F284)</f>
        <v>0</v>
      </c>
      <c r="G282" s="142">
        <f t="shared" si="3"/>
        <v>0</v>
      </c>
      <c r="H282" s="77"/>
    </row>
    <row r="283" spans="1:8" ht="14.95" customHeight="1" x14ac:dyDescent="0.25">
      <c r="A283" s="52" t="s">
        <v>25</v>
      </c>
      <c r="B283" s="40"/>
      <c r="C283" s="10"/>
      <c r="D283" s="10"/>
      <c r="E283" s="10"/>
      <c r="F283" s="10"/>
      <c r="G283" s="83"/>
    </row>
    <row r="284" spans="1:8" ht="14.3" customHeight="1" thickBot="1" x14ac:dyDescent="0.3">
      <c r="A284" s="158" t="s">
        <v>177</v>
      </c>
      <c r="B284" s="161"/>
      <c r="C284" s="16">
        <v>0</v>
      </c>
      <c r="D284" s="16">
        <v>0</v>
      </c>
      <c r="E284" s="16">
        <v>0</v>
      </c>
      <c r="F284" s="16">
        <v>0</v>
      </c>
      <c r="G284" s="98">
        <f t="shared" si="3"/>
        <v>0</v>
      </c>
    </row>
    <row r="285" spans="1:8" ht="15.8" customHeight="1" thickBot="1" x14ac:dyDescent="0.3">
      <c r="A285" s="49" t="s">
        <v>178</v>
      </c>
      <c r="B285" s="43"/>
      <c r="C285" s="35">
        <f>SUM(C287:C289)</f>
        <v>320</v>
      </c>
      <c r="D285" s="35">
        <f>SUM(D287:D289)</f>
        <v>0</v>
      </c>
      <c r="E285" s="35">
        <f>SUM(E287:E289)</f>
        <v>0</v>
      </c>
      <c r="F285" s="35">
        <f>SUM(F287:F289)</f>
        <v>59.9</v>
      </c>
      <c r="G285" s="142">
        <f t="shared" si="3"/>
        <v>379.9</v>
      </c>
      <c r="H285" s="77"/>
    </row>
    <row r="286" spans="1:8" ht="12.75" customHeight="1" x14ac:dyDescent="0.25">
      <c r="A286" s="50" t="s">
        <v>25</v>
      </c>
      <c r="B286" s="40"/>
      <c r="C286" s="10"/>
      <c r="D286" s="10"/>
      <c r="E286" s="10"/>
      <c r="F286" s="10"/>
      <c r="G286" s="83"/>
    </row>
    <row r="287" spans="1:8" ht="16.5" customHeight="1" x14ac:dyDescent="0.25">
      <c r="A287" s="47" t="s">
        <v>179</v>
      </c>
      <c r="B287" s="42"/>
      <c r="C287" s="10">
        <v>0</v>
      </c>
      <c r="D287" s="13">
        <v>0</v>
      </c>
      <c r="E287" s="13">
        <v>0</v>
      </c>
      <c r="F287" s="13">
        <f>59.9</f>
        <v>59.9</v>
      </c>
      <c r="G287" s="83">
        <f t="shared" si="3"/>
        <v>59.9</v>
      </c>
    </row>
    <row r="288" spans="1:8" ht="15.8" customHeight="1" x14ac:dyDescent="0.25">
      <c r="A288" s="47" t="s">
        <v>180</v>
      </c>
      <c r="B288" s="42"/>
      <c r="C288" s="10">
        <v>320</v>
      </c>
      <c r="D288" s="81">
        <v>0</v>
      </c>
      <c r="E288" s="81">
        <v>0</v>
      </c>
      <c r="F288" s="81">
        <v>0</v>
      </c>
      <c r="G288" s="83">
        <f t="shared" si="3"/>
        <v>320</v>
      </c>
    </row>
    <row r="289" spans="1:8" ht="15.8" customHeight="1" thickBot="1" x14ac:dyDescent="0.3">
      <c r="A289" s="48" t="s">
        <v>181</v>
      </c>
      <c r="B289" s="38"/>
      <c r="C289" s="21">
        <v>0</v>
      </c>
      <c r="D289" s="89">
        <v>0</v>
      </c>
      <c r="E289" s="89">
        <v>0</v>
      </c>
      <c r="F289" s="89">
        <v>0</v>
      </c>
      <c r="G289" s="98">
        <f t="shared" si="3"/>
        <v>0</v>
      </c>
    </row>
    <row r="290" spans="1:8" ht="14.95" customHeight="1" thickBot="1" x14ac:dyDescent="0.3">
      <c r="A290" s="49" t="s">
        <v>30</v>
      </c>
      <c r="B290" s="43"/>
      <c r="C290" s="35">
        <f>SUM(C292:C299)</f>
        <v>277123.01</v>
      </c>
      <c r="D290" s="35">
        <f>SUM(D292:D299)</f>
        <v>-83.78</v>
      </c>
      <c r="E290" s="35">
        <f>SUM(E292:E299)</f>
        <v>73861.08</v>
      </c>
      <c r="F290" s="35">
        <f>SUM(F292:F299)</f>
        <v>-632</v>
      </c>
      <c r="G290" s="142">
        <f t="shared" si="3"/>
        <v>350268.31</v>
      </c>
      <c r="H290" s="77"/>
    </row>
    <row r="291" spans="1:8" ht="14.3" customHeight="1" x14ac:dyDescent="0.25">
      <c r="A291" s="50" t="s">
        <v>25</v>
      </c>
      <c r="B291" s="40"/>
      <c r="C291" s="10"/>
      <c r="D291" s="10"/>
      <c r="E291" s="10"/>
      <c r="F291" s="10"/>
      <c r="G291" s="83"/>
    </row>
    <row r="292" spans="1:8" ht="15.8" customHeight="1" x14ac:dyDescent="0.25">
      <c r="A292" s="47" t="s">
        <v>182</v>
      </c>
      <c r="B292" s="42"/>
      <c r="C292" s="10">
        <v>800</v>
      </c>
      <c r="D292" s="13">
        <f>-44.42</f>
        <v>-44.42</v>
      </c>
      <c r="E292" s="13">
        <v>6353.67</v>
      </c>
      <c r="F292" s="13">
        <f>-33</f>
        <v>-33</v>
      </c>
      <c r="G292" s="83">
        <f t="shared" si="3"/>
        <v>7076.25</v>
      </c>
    </row>
    <row r="293" spans="1:8" ht="17.350000000000001" customHeight="1" x14ac:dyDescent="0.25">
      <c r="A293" s="47" t="s">
        <v>183</v>
      </c>
      <c r="B293" s="42"/>
      <c r="C293" s="10">
        <v>1550</v>
      </c>
      <c r="D293" s="13">
        <v>0</v>
      </c>
      <c r="E293" s="13">
        <v>3277.84</v>
      </c>
      <c r="F293" s="13">
        <f>-80</f>
        <v>-80</v>
      </c>
      <c r="G293" s="83">
        <f t="shared" si="3"/>
        <v>4747.84</v>
      </c>
    </row>
    <row r="294" spans="1:8" ht="15.8" customHeight="1" x14ac:dyDescent="0.25">
      <c r="A294" s="11" t="s">
        <v>184</v>
      </c>
      <c r="B294" s="42"/>
      <c r="C294" s="10">
        <v>650</v>
      </c>
      <c r="D294" s="13">
        <f>-39.36</f>
        <v>-39.36</v>
      </c>
      <c r="E294" s="13">
        <v>4136.68</v>
      </c>
      <c r="F294" s="13">
        <f>-519</f>
        <v>-519</v>
      </c>
      <c r="G294" s="83">
        <f t="shared" si="3"/>
        <v>4228.3200000000006</v>
      </c>
    </row>
    <row r="295" spans="1:8" ht="15.8" customHeight="1" x14ac:dyDescent="0.25">
      <c r="A295" s="47" t="s">
        <v>185</v>
      </c>
      <c r="B295" s="42"/>
      <c r="C295" s="10">
        <v>1450</v>
      </c>
      <c r="D295" s="13">
        <v>0</v>
      </c>
      <c r="E295" s="13">
        <v>6683.7</v>
      </c>
      <c r="F295" s="13">
        <v>0</v>
      </c>
      <c r="G295" s="83">
        <f t="shared" si="3"/>
        <v>8133.7</v>
      </c>
    </row>
    <row r="296" spans="1:8" ht="16.5" customHeight="1" x14ac:dyDescent="0.25">
      <c r="A296" s="11" t="s">
        <v>186</v>
      </c>
      <c r="B296" s="42"/>
      <c r="C296" s="13">
        <v>550</v>
      </c>
      <c r="D296" s="13">
        <v>0</v>
      </c>
      <c r="E296" s="13">
        <v>2221</v>
      </c>
      <c r="F296" s="13">
        <v>0</v>
      </c>
      <c r="G296" s="83">
        <f t="shared" si="3"/>
        <v>2771</v>
      </c>
    </row>
    <row r="297" spans="1:8" ht="24.8" customHeight="1" x14ac:dyDescent="0.25">
      <c r="A297" s="11" t="s">
        <v>187</v>
      </c>
      <c r="B297" s="42"/>
      <c r="C297" s="10">
        <v>14531.5</v>
      </c>
      <c r="D297" s="13">
        <v>0</v>
      </c>
      <c r="E297" s="13">
        <v>0</v>
      </c>
      <c r="F297" s="13">
        <v>0</v>
      </c>
      <c r="G297" s="83">
        <f t="shared" si="3"/>
        <v>14531.5</v>
      </c>
    </row>
    <row r="298" spans="1:8" ht="14.95" customHeight="1" x14ac:dyDescent="0.25">
      <c r="A298" s="11" t="s">
        <v>188</v>
      </c>
      <c r="B298" s="42"/>
      <c r="C298" s="10">
        <v>257591.51</v>
      </c>
      <c r="D298" s="13">
        <v>0</v>
      </c>
      <c r="E298" s="13">
        <v>51188.19</v>
      </c>
      <c r="F298" s="13">
        <v>0</v>
      </c>
      <c r="G298" s="83">
        <f t="shared" si="3"/>
        <v>308779.7</v>
      </c>
    </row>
    <row r="299" spans="1:8" ht="15.8" customHeight="1" thickBot="1" x14ac:dyDescent="0.3">
      <c r="A299" s="48" t="s">
        <v>189</v>
      </c>
      <c r="B299" s="38"/>
      <c r="C299" s="16">
        <v>0</v>
      </c>
      <c r="D299" s="89">
        <v>0</v>
      </c>
      <c r="E299" s="89">
        <v>0</v>
      </c>
      <c r="F299" s="89">
        <v>0</v>
      </c>
      <c r="G299" s="98">
        <f t="shared" si="3"/>
        <v>0</v>
      </c>
    </row>
    <row r="300" spans="1:8" ht="14.95" customHeight="1" thickBot="1" x14ac:dyDescent="0.3">
      <c r="A300" s="49" t="s">
        <v>38</v>
      </c>
      <c r="B300" s="43"/>
      <c r="C300" s="35">
        <f>SUM(C302:C303)</f>
        <v>12753.65</v>
      </c>
      <c r="D300" s="35">
        <f>SUM(D302:D303)</f>
        <v>6726.99</v>
      </c>
      <c r="E300" s="35">
        <f>SUM(E302:E303)</f>
        <v>20311.03</v>
      </c>
      <c r="F300" s="35">
        <f>SUM(F302:F303)</f>
        <v>2480.5</v>
      </c>
      <c r="G300" s="142">
        <f t="shared" si="3"/>
        <v>42272.17</v>
      </c>
      <c r="H300" s="77"/>
    </row>
    <row r="301" spans="1:8" ht="13.6" customHeight="1" x14ac:dyDescent="0.25">
      <c r="A301" s="50" t="s">
        <v>25</v>
      </c>
      <c r="B301" s="40"/>
      <c r="C301" s="10"/>
      <c r="D301" s="10"/>
      <c r="E301" s="10"/>
      <c r="F301" s="10"/>
      <c r="G301" s="83"/>
    </row>
    <row r="302" spans="1:8" ht="15.8" customHeight="1" x14ac:dyDescent="0.25">
      <c r="A302" s="47" t="s">
        <v>179</v>
      </c>
      <c r="B302" s="42"/>
      <c r="C302" s="10">
        <v>11837.48</v>
      </c>
      <c r="D302" s="13">
        <f>5013+480</f>
        <v>5493</v>
      </c>
      <c r="E302" s="13">
        <v>1030.19</v>
      </c>
      <c r="F302" s="13">
        <f>1156.5+1324</f>
        <v>2480.5</v>
      </c>
      <c r="G302" s="83">
        <f t="shared" si="3"/>
        <v>20841.169999999998</v>
      </c>
    </row>
    <row r="303" spans="1:8" ht="16.5" customHeight="1" thickBot="1" x14ac:dyDescent="0.3">
      <c r="A303" s="14" t="s">
        <v>190</v>
      </c>
      <c r="B303" s="38"/>
      <c r="C303" s="16">
        <v>916.17</v>
      </c>
      <c r="D303" s="16">
        <f>100+1133.99</f>
        <v>1233.99</v>
      </c>
      <c r="E303" s="16">
        <v>19280.84</v>
      </c>
      <c r="F303" s="16">
        <v>0</v>
      </c>
      <c r="G303" s="98">
        <f t="shared" ref="G303:G366" si="4">SUM(C303:F303)</f>
        <v>21431</v>
      </c>
    </row>
    <row r="304" spans="1:8" ht="15.8" customHeight="1" thickBot="1" x14ac:dyDescent="0.3">
      <c r="A304" s="61" t="s">
        <v>40</v>
      </c>
      <c r="B304" s="39"/>
      <c r="C304" s="35">
        <f>SUM(C306:C307)</f>
        <v>0</v>
      </c>
      <c r="D304" s="105">
        <f>SUM(D306:D307)</f>
        <v>0</v>
      </c>
      <c r="E304" s="105">
        <f>SUM(E306:E307)</f>
        <v>0</v>
      </c>
      <c r="F304" s="105">
        <f>SUM(F306:F307)</f>
        <v>0</v>
      </c>
      <c r="G304" s="142">
        <f t="shared" si="4"/>
        <v>0</v>
      </c>
      <c r="H304" s="77"/>
    </row>
    <row r="305" spans="1:8" ht="14.3" customHeight="1" x14ac:dyDescent="0.25">
      <c r="A305" s="50" t="s">
        <v>25</v>
      </c>
      <c r="B305" s="40"/>
      <c r="C305" s="10"/>
      <c r="D305" s="25"/>
      <c r="E305" s="25"/>
      <c r="F305" s="25"/>
      <c r="G305" s="83"/>
    </row>
    <row r="306" spans="1:8" ht="14.95" customHeight="1" x14ac:dyDescent="0.25">
      <c r="A306" s="47" t="s">
        <v>179</v>
      </c>
      <c r="B306" s="42"/>
      <c r="C306" s="10">
        <v>0</v>
      </c>
      <c r="D306" s="90">
        <v>0</v>
      </c>
      <c r="E306" s="90">
        <v>0</v>
      </c>
      <c r="F306" s="90">
        <v>0</v>
      </c>
      <c r="G306" s="83">
        <f t="shared" si="4"/>
        <v>0</v>
      </c>
    </row>
    <row r="307" spans="1:8" ht="16.5" customHeight="1" thickBot="1" x14ac:dyDescent="0.3">
      <c r="A307" s="48" t="s">
        <v>191</v>
      </c>
      <c r="B307" s="38"/>
      <c r="C307" s="21">
        <v>0</v>
      </c>
      <c r="D307" s="104">
        <v>0</v>
      </c>
      <c r="E307" s="104">
        <v>0</v>
      </c>
      <c r="F307" s="104">
        <v>0</v>
      </c>
      <c r="G307" s="98">
        <f t="shared" si="4"/>
        <v>0</v>
      </c>
    </row>
    <row r="308" spans="1:8" ht="13.6" customHeight="1" thickBot="1" x14ac:dyDescent="0.3">
      <c r="A308" s="49" t="s">
        <v>43</v>
      </c>
      <c r="B308" s="43"/>
      <c r="C308" s="35">
        <f>SUM(C310:C323)</f>
        <v>1415</v>
      </c>
      <c r="D308" s="35">
        <f>SUM(D310:D323)</f>
        <v>3495.4700000000003</v>
      </c>
      <c r="E308" s="35">
        <f>SUM(E310:E323)</f>
        <v>4194.12</v>
      </c>
      <c r="F308" s="35">
        <f>SUM(F310:F323)</f>
        <v>220</v>
      </c>
      <c r="G308" s="142">
        <f t="shared" si="4"/>
        <v>9324.59</v>
      </c>
      <c r="H308" s="77"/>
    </row>
    <row r="309" spans="1:8" ht="14.3" customHeight="1" x14ac:dyDescent="0.25">
      <c r="A309" s="50" t="s">
        <v>25</v>
      </c>
      <c r="B309" s="40"/>
      <c r="C309" s="10"/>
      <c r="D309" s="10"/>
      <c r="E309" s="10"/>
      <c r="F309" s="10"/>
      <c r="G309" s="83"/>
    </row>
    <row r="310" spans="1:8" ht="16.5" customHeight="1" x14ac:dyDescent="0.25">
      <c r="A310" s="47" t="s">
        <v>179</v>
      </c>
      <c r="B310" s="42"/>
      <c r="C310" s="10">
        <v>1415</v>
      </c>
      <c r="D310" s="13">
        <v>130</v>
      </c>
      <c r="E310" s="13">
        <v>0</v>
      </c>
      <c r="F310" s="13">
        <f>70+150</f>
        <v>220</v>
      </c>
      <c r="G310" s="83">
        <f t="shared" si="4"/>
        <v>1765</v>
      </c>
    </row>
    <row r="311" spans="1:8" ht="39.75" customHeight="1" x14ac:dyDescent="0.25">
      <c r="A311" s="11" t="s">
        <v>282</v>
      </c>
      <c r="B311" s="46" t="s">
        <v>230</v>
      </c>
      <c r="C311" s="13">
        <v>0</v>
      </c>
      <c r="D311" s="13">
        <v>0</v>
      </c>
      <c r="E311" s="13">
        <v>8.9</v>
      </c>
      <c r="F311" s="13">
        <v>0</v>
      </c>
      <c r="G311" s="88">
        <f t="shared" si="4"/>
        <v>8.9</v>
      </c>
    </row>
    <row r="312" spans="1:8" ht="28.55" customHeight="1" x14ac:dyDescent="0.25">
      <c r="A312" s="14" t="s">
        <v>283</v>
      </c>
      <c r="B312" s="46" t="s">
        <v>230</v>
      </c>
      <c r="C312" s="10">
        <v>0</v>
      </c>
      <c r="D312" s="16">
        <v>0</v>
      </c>
      <c r="E312" s="16">
        <v>50</v>
      </c>
      <c r="F312" s="16">
        <v>0</v>
      </c>
      <c r="G312" s="83">
        <f t="shared" si="4"/>
        <v>50</v>
      </c>
    </row>
    <row r="313" spans="1:8" ht="28.55" customHeight="1" x14ac:dyDescent="0.25">
      <c r="A313" s="11" t="s">
        <v>286</v>
      </c>
      <c r="B313" s="46" t="s">
        <v>230</v>
      </c>
      <c r="C313" s="13">
        <v>0</v>
      </c>
      <c r="D313" s="13">
        <v>0</v>
      </c>
      <c r="E313" s="13">
        <v>1000</v>
      </c>
      <c r="F313" s="13">
        <v>0</v>
      </c>
      <c r="G313" s="88">
        <f t="shared" si="4"/>
        <v>1000</v>
      </c>
    </row>
    <row r="314" spans="1:8" ht="27.7" customHeight="1" x14ac:dyDescent="0.25">
      <c r="A314" s="11" t="s">
        <v>284</v>
      </c>
      <c r="B314" s="46" t="s">
        <v>230</v>
      </c>
      <c r="C314" s="13">
        <v>0</v>
      </c>
      <c r="D314" s="13">
        <v>0</v>
      </c>
      <c r="E314" s="13">
        <v>200</v>
      </c>
      <c r="F314" s="13">
        <v>0</v>
      </c>
      <c r="G314" s="88">
        <f t="shared" si="4"/>
        <v>200</v>
      </c>
    </row>
    <row r="315" spans="1:8" ht="18.7" customHeight="1" x14ac:dyDescent="0.25">
      <c r="A315" s="11" t="s">
        <v>302</v>
      </c>
      <c r="B315" s="46" t="s">
        <v>230</v>
      </c>
      <c r="C315" s="13">
        <v>0</v>
      </c>
      <c r="D315" s="13">
        <f>1656.6</f>
        <v>1656.6</v>
      </c>
      <c r="E315" s="13">
        <v>0</v>
      </c>
      <c r="F315" s="13">
        <v>0</v>
      </c>
      <c r="G315" s="88">
        <f t="shared" si="4"/>
        <v>1656.6</v>
      </c>
    </row>
    <row r="316" spans="1:8" ht="17.350000000000001" customHeight="1" x14ac:dyDescent="0.25">
      <c r="A316" s="14" t="s">
        <v>303</v>
      </c>
      <c r="B316" s="46" t="s">
        <v>230</v>
      </c>
      <c r="C316" s="10">
        <v>0</v>
      </c>
      <c r="D316" s="16">
        <f>97.45</f>
        <v>97.45</v>
      </c>
      <c r="E316" s="16">
        <v>0</v>
      </c>
      <c r="F316" s="16">
        <v>0</v>
      </c>
      <c r="G316" s="83">
        <f t="shared" si="4"/>
        <v>97.45</v>
      </c>
    </row>
    <row r="317" spans="1:8" ht="29.25" customHeight="1" x14ac:dyDescent="0.25">
      <c r="A317" s="11" t="s">
        <v>285</v>
      </c>
      <c r="B317" s="46" t="s">
        <v>230</v>
      </c>
      <c r="C317" s="13">
        <v>0</v>
      </c>
      <c r="D317" s="13">
        <v>0</v>
      </c>
      <c r="E317" s="13">
        <v>1800</v>
      </c>
      <c r="F317" s="13">
        <v>0</v>
      </c>
      <c r="G317" s="88">
        <f t="shared" si="4"/>
        <v>1800</v>
      </c>
    </row>
    <row r="318" spans="1:8" ht="26.35" customHeight="1" x14ac:dyDescent="0.25">
      <c r="A318" s="11" t="s">
        <v>287</v>
      </c>
      <c r="B318" s="46" t="s">
        <v>230</v>
      </c>
      <c r="C318" s="13">
        <v>0</v>
      </c>
      <c r="D318" s="13">
        <v>0</v>
      </c>
      <c r="E318" s="13">
        <v>190</v>
      </c>
      <c r="F318" s="13">
        <v>0</v>
      </c>
      <c r="G318" s="83">
        <f t="shared" si="4"/>
        <v>190</v>
      </c>
    </row>
    <row r="319" spans="1:8" ht="18" customHeight="1" x14ac:dyDescent="0.25">
      <c r="A319" s="14" t="s">
        <v>300</v>
      </c>
      <c r="B319" s="46" t="s">
        <v>230</v>
      </c>
      <c r="C319" s="10">
        <v>0</v>
      </c>
      <c r="D319" s="16">
        <f>1521.89</f>
        <v>1521.89</v>
      </c>
      <c r="E319" s="16">
        <v>0</v>
      </c>
      <c r="F319" s="16">
        <v>0</v>
      </c>
      <c r="G319" s="83">
        <f t="shared" si="4"/>
        <v>1521.89</v>
      </c>
    </row>
    <row r="320" spans="1:8" ht="15.8" customHeight="1" x14ac:dyDescent="0.25">
      <c r="A320" s="14" t="s">
        <v>301</v>
      </c>
      <c r="B320" s="46" t="s">
        <v>230</v>
      </c>
      <c r="C320" s="10">
        <v>0</v>
      </c>
      <c r="D320" s="16">
        <f>89.53</f>
        <v>89.53</v>
      </c>
      <c r="E320" s="16">
        <v>0</v>
      </c>
      <c r="F320" s="16">
        <v>0</v>
      </c>
      <c r="G320" s="83">
        <f t="shared" si="4"/>
        <v>89.53</v>
      </c>
    </row>
    <row r="321" spans="1:8" ht="39.75" customHeight="1" x14ac:dyDescent="0.25">
      <c r="A321" s="11" t="s">
        <v>288</v>
      </c>
      <c r="B321" s="46" t="s">
        <v>230</v>
      </c>
      <c r="C321" s="13">
        <v>0</v>
      </c>
      <c r="D321" s="13">
        <v>0</v>
      </c>
      <c r="E321" s="13">
        <v>245.22</v>
      </c>
      <c r="F321" s="13">
        <v>0</v>
      </c>
      <c r="G321" s="83">
        <f t="shared" si="4"/>
        <v>245.22</v>
      </c>
    </row>
    <row r="322" spans="1:8" ht="29.25" customHeight="1" x14ac:dyDescent="0.25">
      <c r="A322" s="11" t="s">
        <v>289</v>
      </c>
      <c r="B322" s="46" t="s">
        <v>230</v>
      </c>
      <c r="C322" s="13">
        <v>0</v>
      </c>
      <c r="D322" s="13">
        <v>0</v>
      </c>
      <c r="E322" s="13">
        <v>700</v>
      </c>
      <c r="F322" s="13">
        <v>0</v>
      </c>
      <c r="G322" s="83">
        <f t="shared" si="4"/>
        <v>700</v>
      </c>
    </row>
    <row r="323" spans="1:8" ht="14.95" customHeight="1" thickBot="1" x14ac:dyDescent="0.3">
      <c r="A323" s="48" t="s">
        <v>192</v>
      </c>
      <c r="B323" s="38"/>
      <c r="C323" s="16">
        <v>0</v>
      </c>
      <c r="D323" s="16">
        <v>0</v>
      </c>
      <c r="E323" s="16">
        <v>0</v>
      </c>
      <c r="F323" s="16">
        <v>0</v>
      </c>
      <c r="G323" s="98">
        <f t="shared" si="4"/>
        <v>0</v>
      </c>
    </row>
    <row r="324" spans="1:8" ht="16.3" customHeight="1" thickBot="1" x14ac:dyDescent="0.3">
      <c r="A324" s="49" t="s">
        <v>106</v>
      </c>
      <c r="B324" s="43"/>
      <c r="C324" s="35">
        <f>SUM(C326:C327)</f>
        <v>73386</v>
      </c>
      <c r="D324" s="35">
        <f>SUM(D326:D327)</f>
        <v>0</v>
      </c>
      <c r="E324" s="35">
        <f>SUM(E326:E327)</f>
        <v>17550</v>
      </c>
      <c r="F324" s="35">
        <f>SUM(F326:F327)</f>
        <v>80</v>
      </c>
      <c r="G324" s="142">
        <f t="shared" si="4"/>
        <v>91016</v>
      </c>
      <c r="H324" s="77"/>
    </row>
    <row r="325" spans="1:8" ht="12.75" customHeight="1" x14ac:dyDescent="0.25">
      <c r="A325" s="50" t="s">
        <v>25</v>
      </c>
      <c r="B325" s="40"/>
      <c r="C325" s="10"/>
      <c r="D325" s="10"/>
      <c r="E325" s="10"/>
      <c r="F325" s="10"/>
      <c r="G325" s="83"/>
    </row>
    <row r="326" spans="1:8" ht="15.8" customHeight="1" x14ac:dyDescent="0.25">
      <c r="A326" s="47" t="s">
        <v>179</v>
      </c>
      <c r="B326" s="42"/>
      <c r="C326" s="10">
        <v>73386</v>
      </c>
      <c r="D326" s="13">
        <v>0</v>
      </c>
      <c r="E326" s="13">
        <v>17550</v>
      </c>
      <c r="F326" s="13">
        <f>80</f>
        <v>80</v>
      </c>
      <c r="G326" s="83">
        <f t="shared" si="4"/>
        <v>91016</v>
      </c>
    </row>
    <row r="327" spans="1:8" ht="18" customHeight="1" thickBot="1" x14ac:dyDescent="0.3">
      <c r="A327" s="14" t="s">
        <v>193</v>
      </c>
      <c r="B327" s="38"/>
      <c r="C327" s="16">
        <v>0</v>
      </c>
      <c r="D327" s="89">
        <v>0</v>
      </c>
      <c r="E327" s="89">
        <v>0</v>
      </c>
      <c r="F327" s="89">
        <v>0</v>
      </c>
      <c r="G327" s="144">
        <f t="shared" si="4"/>
        <v>0</v>
      </c>
    </row>
    <row r="328" spans="1:8" ht="15.8" customHeight="1" thickBot="1" x14ac:dyDescent="0.3">
      <c r="A328" s="122" t="s">
        <v>113</v>
      </c>
      <c r="B328" s="43"/>
      <c r="C328" s="35">
        <f>SUM(C330:C335)</f>
        <v>11924.69</v>
      </c>
      <c r="D328" s="153">
        <f>SUM(D330:D335)</f>
        <v>-16.579999999999998</v>
      </c>
      <c r="E328" s="154">
        <f>SUM(E330:E335)</f>
        <v>6622.2</v>
      </c>
      <c r="F328" s="154">
        <f>SUM(F330:F335)</f>
        <v>0</v>
      </c>
      <c r="G328" s="142">
        <f t="shared" si="4"/>
        <v>18530.310000000001</v>
      </c>
      <c r="H328" s="77"/>
    </row>
    <row r="329" spans="1:8" ht="13.6" customHeight="1" x14ac:dyDescent="0.25">
      <c r="A329" s="123" t="s">
        <v>25</v>
      </c>
      <c r="B329" s="40"/>
      <c r="C329" s="10"/>
      <c r="D329" s="82"/>
      <c r="E329" s="117"/>
      <c r="F329" s="117"/>
      <c r="G329" s="83"/>
    </row>
    <row r="330" spans="1:8" ht="14.95" customHeight="1" x14ac:dyDescent="0.25">
      <c r="A330" s="124" t="s">
        <v>179</v>
      </c>
      <c r="B330" s="42"/>
      <c r="C330" s="10">
        <v>1224.69</v>
      </c>
      <c r="D330" s="81">
        <f>-16.58</f>
        <v>-16.579999999999998</v>
      </c>
      <c r="E330" s="118">
        <v>522.20000000000005</v>
      </c>
      <c r="F330" s="118">
        <v>0</v>
      </c>
      <c r="G330" s="83">
        <f t="shared" si="4"/>
        <v>1730.3100000000002</v>
      </c>
    </row>
    <row r="331" spans="1:8" ht="27.7" customHeight="1" x14ac:dyDescent="0.25">
      <c r="A331" s="11" t="s">
        <v>195</v>
      </c>
      <c r="B331" s="46" t="s">
        <v>115</v>
      </c>
      <c r="C331" s="10">
        <v>700</v>
      </c>
      <c r="D331" s="81">
        <v>0</v>
      </c>
      <c r="E331" s="81">
        <v>0</v>
      </c>
      <c r="F331" s="81">
        <v>0</v>
      </c>
      <c r="G331" s="83">
        <f t="shared" si="4"/>
        <v>700</v>
      </c>
    </row>
    <row r="332" spans="1:8" ht="26.35" customHeight="1" x14ac:dyDescent="0.25">
      <c r="A332" s="11" t="s">
        <v>248</v>
      </c>
      <c r="B332" s="46" t="s">
        <v>121</v>
      </c>
      <c r="C332" s="10">
        <v>9400</v>
      </c>
      <c r="D332" s="81">
        <v>0</v>
      </c>
      <c r="E332" s="81">
        <v>6100</v>
      </c>
      <c r="F332" s="81">
        <v>0</v>
      </c>
      <c r="G332" s="83">
        <f t="shared" si="4"/>
        <v>15500</v>
      </c>
    </row>
    <row r="333" spans="1:8" ht="16.5" customHeight="1" x14ac:dyDescent="0.25">
      <c r="A333" s="11" t="s">
        <v>196</v>
      </c>
      <c r="B333" s="46" t="s">
        <v>257</v>
      </c>
      <c r="C333" s="10">
        <v>400</v>
      </c>
      <c r="D333" s="81">
        <v>0</v>
      </c>
      <c r="E333" s="81">
        <v>0</v>
      </c>
      <c r="F333" s="81">
        <v>0</v>
      </c>
      <c r="G333" s="83">
        <f t="shared" si="4"/>
        <v>400</v>
      </c>
    </row>
    <row r="334" spans="1:8" ht="25.5" customHeight="1" x14ac:dyDescent="0.25">
      <c r="A334" s="11" t="s">
        <v>252</v>
      </c>
      <c r="B334" s="46" t="s">
        <v>33</v>
      </c>
      <c r="C334" s="10">
        <v>200</v>
      </c>
      <c r="D334" s="81">
        <v>0</v>
      </c>
      <c r="E334" s="81">
        <v>0</v>
      </c>
      <c r="F334" s="81">
        <v>0</v>
      </c>
      <c r="G334" s="83">
        <f t="shared" si="4"/>
        <v>200</v>
      </c>
    </row>
    <row r="335" spans="1:8" ht="18" customHeight="1" thickBot="1" x14ac:dyDescent="0.3">
      <c r="A335" s="14" t="s">
        <v>197</v>
      </c>
      <c r="B335" s="38"/>
      <c r="C335" s="16">
        <v>0</v>
      </c>
      <c r="D335" s="89">
        <v>0</v>
      </c>
      <c r="E335" s="89">
        <v>0</v>
      </c>
      <c r="F335" s="89">
        <v>0</v>
      </c>
      <c r="G335" s="98">
        <f t="shared" si="4"/>
        <v>0</v>
      </c>
    </row>
    <row r="336" spans="1:8" ht="14.95" customHeight="1" thickBot="1" x14ac:dyDescent="0.3">
      <c r="A336" s="49" t="s">
        <v>120</v>
      </c>
      <c r="B336" s="43"/>
      <c r="C336" s="35">
        <f>SUM(C338:C340)</f>
        <v>1000</v>
      </c>
      <c r="D336" s="35">
        <f>SUM(D338:D340)</f>
        <v>0</v>
      </c>
      <c r="E336" s="35">
        <f>SUM(E338:E340)</f>
        <v>200</v>
      </c>
      <c r="F336" s="35">
        <f>SUM(F338:F340)</f>
        <v>0</v>
      </c>
      <c r="G336" s="142">
        <f t="shared" si="4"/>
        <v>1200</v>
      </c>
      <c r="H336" s="77"/>
    </row>
    <row r="337" spans="1:8" ht="13.6" customHeight="1" x14ac:dyDescent="0.25">
      <c r="A337" s="50" t="s">
        <v>25</v>
      </c>
      <c r="B337" s="40"/>
      <c r="C337" s="10"/>
      <c r="D337" s="10"/>
      <c r="E337" s="10"/>
      <c r="F337" s="10"/>
      <c r="G337" s="83"/>
    </row>
    <row r="338" spans="1:8" ht="14.95" customHeight="1" x14ac:dyDescent="0.25">
      <c r="A338" s="11" t="s">
        <v>198</v>
      </c>
      <c r="B338" s="46" t="s">
        <v>230</v>
      </c>
      <c r="C338" s="10">
        <v>1000</v>
      </c>
      <c r="D338" s="13">
        <v>0</v>
      </c>
      <c r="E338" s="13">
        <v>0</v>
      </c>
      <c r="F338" s="13">
        <v>0</v>
      </c>
      <c r="G338" s="83">
        <f t="shared" si="4"/>
        <v>1000</v>
      </c>
    </row>
    <row r="339" spans="1:8" ht="29.25" customHeight="1" x14ac:dyDescent="0.25">
      <c r="A339" s="11" t="s">
        <v>290</v>
      </c>
      <c r="B339" s="46" t="s">
        <v>230</v>
      </c>
      <c r="C339" s="13">
        <v>0</v>
      </c>
      <c r="D339" s="13">
        <v>0</v>
      </c>
      <c r="E339" s="13">
        <v>200</v>
      </c>
      <c r="F339" s="13">
        <v>0</v>
      </c>
      <c r="G339" s="83">
        <f t="shared" si="4"/>
        <v>200</v>
      </c>
    </row>
    <row r="340" spans="1:8" ht="17.350000000000001" customHeight="1" thickBot="1" x14ac:dyDescent="0.3">
      <c r="A340" s="48" t="s">
        <v>199</v>
      </c>
      <c r="B340" s="38"/>
      <c r="C340" s="21">
        <v>0</v>
      </c>
      <c r="D340" s="89">
        <v>0</v>
      </c>
      <c r="E340" s="89">
        <v>0</v>
      </c>
      <c r="F340" s="89">
        <v>0</v>
      </c>
      <c r="G340" s="98">
        <f t="shared" si="4"/>
        <v>0</v>
      </c>
    </row>
    <row r="341" spans="1:8" ht="15.8" customHeight="1" thickBot="1" x14ac:dyDescent="0.3">
      <c r="A341" s="122" t="s">
        <v>153</v>
      </c>
      <c r="B341" s="43"/>
      <c r="C341" s="35">
        <f>SUM(C343:C347)</f>
        <v>297185</v>
      </c>
      <c r="D341" s="35">
        <f>SUM(D343:D347)</f>
        <v>-4319</v>
      </c>
      <c r="E341" s="119">
        <f>SUM(E343:E347)</f>
        <v>26830</v>
      </c>
      <c r="F341" s="119">
        <f>SUM(F343:F347)</f>
        <v>410</v>
      </c>
      <c r="G341" s="142">
        <f t="shared" si="4"/>
        <v>320106</v>
      </c>
      <c r="H341" s="77"/>
    </row>
    <row r="342" spans="1:8" ht="14.95" customHeight="1" x14ac:dyDescent="0.25">
      <c r="A342" s="123" t="s">
        <v>25</v>
      </c>
      <c r="B342" s="40"/>
      <c r="C342" s="10"/>
      <c r="D342" s="10"/>
      <c r="E342" s="120"/>
      <c r="F342" s="120"/>
      <c r="G342" s="83"/>
    </row>
    <row r="343" spans="1:8" ht="17.350000000000001" customHeight="1" x14ac:dyDescent="0.25">
      <c r="A343" s="124" t="s">
        <v>179</v>
      </c>
      <c r="B343" s="42"/>
      <c r="C343" s="10">
        <v>122529</v>
      </c>
      <c r="D343" s="13">
        <f>16231+13488+23150</f>
        <v>52869</v>
      </c>
      <c r="E343" s="121">
        <v>13938</v>
      </c>
      <c r="F343" s="121">
        <f>10115</f>
        <v>10115</v>
      </c>
      <c r="G343" s="83">
        <f>SUM(C343:F343)</f>
        <v>199451</v>
      </c>
    </row>
    <row r="344" spans="1:8" ht="15.8" customHeight="1" x14ac:dyDescent="0.25">
      <c r="A344" s="11" t="s">
        <v>200</v>
      </c>
      <c r="B344" s="42"/>
      <c r="C344" s="10">
        <v>1000</v>
      </c>
      <c r="D344" s="13">
        <v>0</v>
      </c>
      <c r="E344" s="121">
        <v>0</v>
      </c>
      <c r="F344" s="121">
        <v>0</v>
      </c>
      <c r="G344" s="83">
        <f t="shared" si="4"/>
        <v>1000</v>
      </c>
    </row>
    <row r="345" spans="1:8" ht="16.5" customHeight="1" x14ac:dyDescent="0.25">
      <c r="A345" s="47" t="s">
        <v>201</v>
      </c>
      <c r="B345" s="42"/>
      <c r="C345" s="10">
        <v>170656</v>
      </c>
      <c r="D345" s="13">
        <f>-16836-13552-650-26150</f>
        <v>-57188</v>
      </c>
      <c r="E345" s="13">
        <v>12892</v>
      </c>
      <c r="F345" s="13">
        <f>-9705</f>
        <v>-9705</v>
      </c>
      <c r="G345" s="83">
        <f t="shared" si="4"/>
        <v>116655</v>
      </c>
    </row>
    <row r="346" spans="1:8" ht="26.35" customHeight="1" x14ac:dyDescent="0.25">
      <c r="A346" s="11" t="s">
        <v>194</v>
      </c>
      <c r="B346" s="42"/>
      <c r="C346" s="10">
        <v>3000</v>
      </c>
      <c r="D346" s="13">
        <v>0</v>
      </c>
      <c r="E346" s="13">
        <v>0</v>
      </c>
      <c r="F346" s="13">
        <v>0</v>
      </c>
      <c r="G346" s="83">
        <f t="shared" si="4"/>
        <v>3000</v>
      </c>
    </row>
    <row r="347" spans="1:8" ht="15.8" customHeight="1" thickBot="1" x14ac:dyDescent="0.3">
      <c r="A347" s="48" t="s">
        <v>202</v>
      </c>
      <c r="B347" s="38"/>
      <c r="C347" s="16">
        <v>0</v>
      </c>
      <c r="D347" s="89">
        <v>0</v>
      </c>
      <c r="E347" s="89">
        <v>0</v>
      </c>
      <c r="F347" s="89">
        <v>0</v>
      </c>
      <c r="G347" s="98">
        <f t="shared" si="4"/>
        <v>0</v>
      </c>
    </row>
    <row r="348" spans="1:8" ht="14.95" customHeight="1" thickBot="1" x14ac:dyDescent="0.3">
      <c r="A348" s="49" t="s">
        <v>155</v>
      </c>
      <c r="B348" s="43"/>
      <c r="C348" s="35">
        <f>SUM(C350:C354)</f>
        <v>6012.4</v>
      </c>
      <c r="D348" s="35">
        <f>SUM(D350:D354)</f>
        <v>0</v>
      </c>
      <c r="E348" s="35">
        <f>SUM(E350:E354)</f>
        <v>-152.99999999999989</v>
      </c>
      <c r="F348" s="35">
        <f>SUM(F350:F354)</f>
        <v>0</v>
      </c>
      <c r="G348" s="142">
        <f t="shared" si="4"/>
        <v>5859.4</v>
      </c>
      <c r="H348" s="77"/>
    </row>
    <row r="349" spans="1:8" ht="14.3" customHeight="1" x14ac:dyDescent="0.25">
      <c r="A349" s="50" t="s">
        <v>25</v>
      </c>
      <c r="B349" s="40"/>
      <c r="C349" s="10"/>
      <c r="D349" s="10"/>
      <c r="E349" s="10"/>
      <c r="F349" s="10"/>
      <c r="G349" s="83"/>
    </row>
    <row r="350" spans="1:8" ht="16.5" customHeight="1" x14ac:dyDescent="0.25">
      <c r="A350" s="47" t="s">
        <v>204</v>
      </c>
      <c r="B350" s="42"/>
      <c r="C350" s="10">
        <v>1000</v>
      </c>
      <c r="D350" s="13">
        <v>0</v>
      </c>
      <c r="E350" s="13">
        <v>0</v>
      </c>
      <c r="F350" s="13">
        <v>0</v>
      </c>
      <c r="G350" s="83">
        <f t="shared" si="4"/>
        <v>1000</v>
      </c>
    </row>
    <row r="351" spans="1:8" ht="14.95" customHeight="1" x14ac:dyDescent="0.25">
      <c r="A351" s="47" t="s">
        <v>179</v>
      </c>
      <c r="B351" s="42"/>
      <c r="C351" s="10">
        <v>3000</v>
      </c>
      <c r="D351" s="13">
        <v>0</v>
      </c>
      <c r="E351" s="13">
        <v>60</v>
      </c>
      <c r="F351" s="13">
        <f>98.01</f>
        <v>98.01</v>
      </c>
      <c r="G351" s="83">
        <f t="shared" si="4"/>
        <v>3158.01</v>
      </c>
    </row>
    <row r="352" spans="1:8" ht="29.25" customHeight="1" x14ac:dyDescent="0.25">
      <c r="A352" s="11" t="s">
        <v>205</v>
      </c>
      <c r="B352" s="46" t="s">
        <v>254</v>
      </c>
      <c r="C352" s="10">
        <v>2012.4</v>
      </c>
      <c r="D352" s="13">
        <v>0</v>
      </c>
      <c r="E352" s="13">
        <v>-1221.0999999999999</v>
      </c>
      <c r="F352" s="13">
        <v>0</v>
      </c>
      <c r="G352" s="83">
        <f t="shared" si="4"/>
        <v>791.30000000000018</v>
      </c>
    </row>
    <row r="353" spans="1:8" ht="26.35" customHeight="1" x14ac:dyDescent="0.25">
      <c r="A353" s="11" t="s">
        <v>291</v>
      </c>
      <c r="B353" s="46"/>
      <c r="C353" s="13">
        <v>0</v>
      </c>
      <c r="D353" s="13">
        <v>0</v>
      </c>
      <c r="E353" s="13">
        <v>200</v>
      </c>
      <c r="F353" s="13">
        <v>0</v>
      </c>
      <c r="G353" s="88">
        <f t="shared" si="4"/>
        <v>200</v>
      </c>
    </row>
    <row r="354" spans="1:8" ht="15.8" customHeight="1" thickBot="1" x14ac:dyDescent="0.3">
      <c r="A354" s="14" t="s">
        <v>206</v>
      </c>
      <c r="B354" s="38"/>
      <c r="C354" s="16">
        <v>0</v>
      </c>
      <c r="D354" s="89">
        <v>0</v>
      </c>
      <c r="E354" s="89">
        <v>808.1</v>
      </c>
      <c r="F354" s="89">
        <f>-98.01</f>
        <v>-98.01</v>
      </c>
      <c r="G354" s="98">
        <f t="shared" si="4"/>
        <v>710.09</v>
      </c>
    </row>
    <row r="355" spans="1:8" ht="15.8" customHeight="1" thickBot="1" x14ac:dyDescent="0.3">
      <c r="A355" s="61" t="s">
        <v>169</v>
      </c>
      <c r="B355" s="39"/>
      <c r="C355" s="35">
        <f>SUM(C357)</f>
        <v>0</v>
      </c>
      <c r="D355" s="35">
        <f>SUM(D357)</f>
        <v>0</v>
      </c>
      <c r="E355" s="35">
        <f>SUM(E357)</f>
        <v>80</v>
      </c>
      <c r="F355" s="35">
        <f>SUM(F357)</f>
        <v>0</v>
      </c>
      <c r="G355" s="142">
        <f t="shared" si="4"/>
        <v>80</v>
      </c>
      <c r="H355" s="77"/>
    </row>
    <row r="356" spans="1:8" ht="16.5" customHeight="1" x14ac:dyDescent="0.25">
      <c r="A356" s="50" t="s">
        <v>25</v>
      </c>
      <c r="B356" s="40"/>
      <c r="C356" s="10"/>
      <c r="D356" s="10"/>
      <c r="E356" s="10"/>
      <c r="F356" s="10"/>
      <c r="G356" s="83"/>
    </row>
    <row r="357" spans="1:8" ht="17.350000000000001" customHeight="1" thickBot="1" x14ac:dyDescent="0.3">
      <c r="A357" s="48" t="s">
        <v>179</v>
      </c>
      <c r="B357" s="38"/>
      <c r="C357" s="21">
        <v>0</v>
      </c>
      <c r="D357" s="16">
        <v>0</v>
      </c>
      <c r="E357" s="16">
        <v>80</v>
      </c>
      <c r="F357" s="16">
        <v>0</v>
      </c>
      <c r="G357" s="98">
        <f t="shared" si="4"/>
        <v>80</v>
      </c>
    </row>
    <row r="358" spans="1:8" ht="15.8" customHeight="1" thickBot="1" x14ac:dyDescent="0.3">
      <c r="A358" s="49" t="s">
        <v>171</v>
      </c>
      <c r="B358" s="43"/>
      <c r="C358" s="35">
        <f>SUM(C360)</f>
        <v>23683.5</v>
      </c>
      <c r="D358" s="35">
        <f>SUM(D360)</f>
        <v>312</v>
      </c>
      <c r="E358" s="35">
        <f>SUM(E360)</f>
        <v>9220</v>
      </c>
      <c r="F358" s="35">
        <f>SUM(F360)</f>
        <v>-1123.95</v>
      </c>
      <c r="G358" s="142">
        <f t="shared" si="4"/>
        <v>32091.55</v>
      </c>
      <c r="H358" s="77"/>
    </row>
    <row r="359" spans="1:8" ht="15.8" customHeight="1" x14ac:dyDescent="0.25">
      <c r="A359" s="50" t="s">
        <v>25</v>
      </c>
      <c r="B359" s="40"/>
      <c r="C359" s="10"/>
      <c r="D359" s="10"/>
      <c r="E359" s="10"/>
      <c r="F359" s="10"/>
      <c r="G359" s="83"/>
    </row>
    <row r="360" spans="1:8" ht="18" customHeight="1" thickBot="1" x14ac:dyDescent="0.3">
      <c r="A360" s="48" t="s">
        <v>179</v>
      </c>
      <c r="B360" s="38"/>
      <c r="C360" s="16">
        <v>23683.5</v>
      </c>
      <c r="D360" s="16">
        <f>150+162</f>
        <v>312</v>
      </c>
      <c r="E360" s="16">
        <v>9220</v>
      </c>
      <c r="F360" s="16">
        <f>-413.82-710.13</f>
        <v>-1123.95</v>
      </c>
      <c r="G360" s="98">
        <f t="shared" si="4"/>
        <v>32091.55</v>
      </c>
    </row>
    <row r="361" spans="1:8" ht="16.5" customHeight="1" thickBot="1" x14ac:dyDescent="0.3">
      <c r="A361" s="57" t="s">
        <v>173</v>
      </c>
      <c r="B361" s="43"/>
      <c r="C361" s="35">
        <f>SUM(C363:C364)</f>
        <v>1000</v>
      </c>
      <c r="D361" s="35">
        <f>SUM(D363:D364)</f>
        <v>0</v>
      </c>
      <c r="E361" s="35">
        <f>SUM(E363:E364)</f>
        <v>11500</v>
      </c>
      <c r="F361" s="35">
        <f>SUM(F363:F364)</f>
        <v>0</v>
      </c>
      <c r="G361" s="142">
        <f t="shared" si="4"/>
        <v>12500</v>
      </c>
      <c r="H361" s="77"/>
    </row>
    <row r="362" spans="1:8" ht="17.350000000000001" customHeight="1" x14ac:dyDescent="0.25">
      <c r="A362" s="50" t="s">
        <v>25</v>
      </c>
      <c r="B362" s="40"/>
      <c r="C362" s="10"/>
      <c r="D362" s="10"/>
      <c r="E362" s="10"/>
      <c r="F362" s="10"/>
      <c r="G362" s="83">
        <f t="shared" si="4"/>
        <v>0</v>
      </c>
    </row>
    <row r="363" spans="1:8" ht="18" customHeight="1" x14ac:dyDescent="0.25">
      <c r="A363" s="47" t="s">
        <v>179</v>
      </c>
      <c r="B363" s="42"/>
      <c r="C363" s="10">
        <v>0</v>
      </c>
      <c r="D363" s="13">
        <v>0</v>
      </c>
      <c r="E363" s="13">
        <v>11500</v>
      </c>
      <c r="F363" s="13">
        <v>0</v>
      </c>
      <c r="G363" s="83">
        <f t="shared" si="4"/>
        <v>11500</v>
      </c>
    </row>
    <row r="364" spans="1:8" ht="30.1" customHeight="1" thickBot="1" x14ac:dyDescent="0.3">
      <c r="A364" s="68" t="s">
        <v>207</v>
      </c>
      <c r="B364" s="67" t="s">
        <v>230</v>
      </c>
      <c r="C364" s="21">
        <v>1000</v>
      </c>
      <c r="D364" s="16">
        <v>0</v>
      </c>
      <c r="E364" s="16">
        <v>0</v>
      </c>
      <c r="F364" s="16">
        <v>0</v>
      </c>
      <c r="G364" s="98">
        <f>SUM(C364:F364)</f>
        <v>1000</v>
      </c>
    </row>
    <row r="365" spans="1:8" ht="17.350000000000001" customHeight="1" thickBot="1" x14ac:dyDescent="0.3">
      <c r="A365" s="58" t="s">
        <v>208</v>
      </c>
      <c r="B365" s="59"/>
      <c r="C365" s="60">
        <f>C282+C285+C290+C300+C304+C308+C324+C328+C336+C341+C348+C355+C358+C361</f>
        <v>705803.25000000012</v>
      </c>
      <c r="D365" s="60">
        <f>SUM(D282+D285+D290+D300+D304+D308+D324+D328+D336+D341+D348+D355+D358+D361)</f>
        <v>6115.1</v>
      </c>
      <c r="E365" s="60">
        <f>SUM(E282+E285+E290+E300+E304+E308+E324+E328+E336+E341+E348+E355+E358+E361)</f>
        <v>170215.43</v>
      </c>
      <c r="F365" s="60">
        <f>SUM(F282+F285+F290+F300+F304+F308+F324+F328+F336+F341+F348+F355+F358+F361)</f>
        <v>1494.45</v>
      </c>
      <c r="G365" s="136">
        <f t="shared" si="4"/>
        <v>883628.23</v>
      </c>
      <c r="H365" s="77"/>
    </row>
    <row r="366" spans="1:8" ht="18" customHeight="1" thickBot="1" x14ac:dyDescent="0.3">
      <c r="A366" s="102" t="s">
        <v>209</v>
      </c>
      <c r="B366" s="103"/>
      <c r="C366" s="60">
        <f>C279+C365</f>
        <v>2352900.15</v>
      </c>
      <c r="D366" s="60">
        <f>SUM(D279+D365)</f>
        <v>10327.830000000002</v>
      </c>
      <c r="E366" s="60">
        <f>SUM(E279+E365)</f>
        <v>235720.94999999998</v>
      </c>
      <c r="F366" s="60">
        <f>SUM(F279+F365)</f>
        <v>15794.39</v>
      </c>
      <c r="G366" s="136">
        <f t="shared" si="4"/>
        <v>2614743.3200000003</v>
      </c>
      <c r="H366" s="77"/>
    </row>
    <row r="367" spans="1:8" ht="14.3" customHeight="1" thickBot="1" x14ac:dyDescent="0.3">
      <c r="A367" s="131"/>
      <c r="B367" s="132"/>
      <c r="C367" s="21"/>
      <c r="D367" s="21"/>
      <c r="E367" s="21"/>
      <c r="F367" s="21"/>
      <c r="G367" s="98"/>
    </row>
    <row r="368" spans="1:8" ht="18.7" customHeight="1" thickBot="1" x14ac:dyDescent="0.3">
      <c r="A368" s="22" t="s">
        <v>210</v>
      </c>
      <c r="B368" s="62"/>
      <c r="C368" s="24"/>
      <c r="D368" s="24"/>
      <c r="E368" s="24"/>
      <c r="F368" s="24"/>
      <c r="G368" s="140"/>
    </row>
    <row r="369" spans="1:8" ht="14.95" customHeight="1" x14ac:dyDescent="0.25">
      <c r="A369" s="8" t="s">
        <v>211</v>
      </c>
      <c r="B369" s="40"/>
      <c r="C369" s="10">
        <v>12800</v>
      </c>
      <c r="D369" s="10">
        <v>0</v>
      </c>
      <c r="E369" s="10">
        <v>1014.79</v>
      </c>
      <c r="F369" s="10">
        <v>0</v>
      </c>
      <c r="G369" s="83">
        <f t="shared" ref="G369:G381" si="5">SUM(C369:F369)</f>
        <v>13814.79</v>
      </c>
    </row>
    <row r="370" spans="1:8" ht="16.5" customHeight="1" x14ac:dyDescent="0.25">
      <c r="A370" s="11" t="s">
        <v>212</v>
      </c>
      <c r="B370" s="42"/>
      <c r="C370" s="10">
        <v>0</v>
      </c>
      <c r="D370" s="81">
        <v>0</v>
      </c>
      <c r="E370" s="81">
        <v>0</v>
      </c>
      <c r="F370" s="82">
        <v>0</v>
      </c>
      <c r="G370" s="83">
        <f>SUM(C370:F370)</f>
        <v>0</v>
      </c>
    </row>
    <row r="371" spans="1:8" ht="14.3" customHeight="1" x14ac:dyDescent="0.25">
      <c r="A371" s="11" t="s">
        <v>213</v>
      </c>
      <c r="B371" s="42"/>
      <c r="C371" s="10">
        <v>0</v>
      </c>
      <c r="D371" s="81">
        <v>0</v>
      </c>
      <c r="E371" s="81">
        <v>0</v>
      </c>
      <c r="F371" s="82">
        <v>0</v>
      </c>
      <c r="G371" s="83">
        <f t="shared" si="5"/>
        <v>0</v>
      </c>
    </row>
    <row r="372" spans="1:8" ht="14.95" customHeight="1" x14ac:dyDescent="0.25">
      <c r="A372" s="11" t="s">
        <v>214</v>
      </c>
      <c r="B372" s="42"/>
      <c r="C372" s="10">
        <v>5451</v>
      </c>
      <c r="D372" s="81">
        <v>0</v>
      </c>
      <c r="E372" s="81">
        <v>0</v>
      </c>
      <c r="F372" s="82">
        <v>0</v>
      </c>
      <c r="G372" s="83">
        <f>SUM(C372:F372)</f>
        <v>5451</v>
      </c>
    </row>
    <row r="373" spans="1:8" ht="14.95" customHeight="1" x14ac:dyDescent="0.25">
      <c r="A373" s="11" t="s">
        <v>215</v>
      </c>
      <c r="B373" s="42"/>
      <c r="C373" s="10">
        <v>0</v>
      </c>
      <c r="D373" s="81">
        <v>0</v>
      </c>
      <c r="E373" s="81">
        <v>0</v>
      </c>
      <c r="F373" s="82">
        <v>0</v>
      </c>
      <c r="G373" s="83">
        <f t="shared" si="5"/>
        <v>0</v>
      </c>
    </row>
    <row r="374" spans="1:8" ht="14.95" customHeight="1" x14ac:dyDescent="0.25">
      <c r="A374" s="11" t="s">
        <v>216</v>
      </c>
      <c r="B374" s="42"/>
      <c r="C374" s="10">
        <v>0</v>
      </c>
      <c r="D374" s="81">
        <v>0</v>
      </c>
      <c r="E374" s="81">
        <v>0</v>
      </c>
      <c r="F374" s="82">
        <v>0</v>
      </c>
      <c r="G374" s="83">
        <f t="shared" si="5"/>
        <v>0</v>
      </c>
    </row>
    <row r="375" spans="1:8" ht="14.3" customHeight="1" thickBot="1" x14ac:dyDescent="0.3">
      <c r="A375" s="113" t="s">
        <v>217</v>
      </c>
      <c r="B375" s="114"/>
      <c r="C375" s="115">
        <v>73897</v>
      </c>
      <c r="D375" s="116">
        <v>0</v>
      </c>
      <c r="E375" s="116">
        <v>0.1</v>
      </c>
      <c r="F375" s="128">
        <v>0</v>
      </c>
      <c r="G375" s="98">
        <f t="shared" si="5"/>
        <v>73897.100000000006</v>
      </c>
    </row>
    <row r="376" spans="1:8" ht="17.350000000000001" customHeight="1" thickBot="1" x14ac:dyDescent="0.3">
      <c r="A376" s="22" t="s">
        <v>218</v>
      </c>
      <c r="B376" s="63"/>
      <c r="C376" s="86">
        <f>SUM(C369:C375)</f>
        <v>92148</v>
      </c>
      <c r="D376" s="100">
        <f>SUM(D369:D375)</f>
        <v>0</v>
      </c>
      <c r="E376" s="100">
        <f>SUM(E369:E375)</f>
        <v>1014.89</v>
      </c>
      <c r="F376" s="100">
        <f>SUM(F369:F375)</f>
        <v>0</v>
      </c>
      <c r="G376" s="139">
        <f t="shared" si="5"/>
        <v>93162.89</v>
      </c>
      <c r="H376" s="77"/>
    </row>
    <row r="377" spans="1:8" ht="18.7" customHeight="1" thickBot="1" x14ac:dyDescent="0.3">
      <c r="A377" s="28" t="s">
        <v>219</v>
      </c>
      <c r="B377" s="64"/>
      <c r="C377" s="87">
        <f>C366+C376</f>
        <v>2445048.15</v>
      </c>
      <c r="D377" s="101">
        <f>SUM(D366+D376)</f>
        <v>10327.830000000002</v>
      </c>
      <c r="E377" s="101">
        <f>E366+E376</f>
        <v>236735.84</v>
      </c>
      <c r="F377" s="101">
        <f>SUM(F366+F376)</f>
        <v>15794.39</v>
      </c>
      <c r="G377" s="141">
        <f t="shared" si="5"/>
        <v>2707906.21</v>
      </c>
      <c r="H377" s="77"/>
    </row>
    <row r="378" spans="1:8" ht="12.75" customHeight="1" thickBot="1" x14ac:dyDescent="0.3">
      <c r="A378" s="133"/>
      <c r="B378" s="132"/>
      <c r="C378" s="21"/>
      <c r="D378" s="134"/>
      <c r="E378" s="134"/>
      <c r="F378" s="134"/>
      <c r="G378" s="98"/>
    </row>
    <row r="379" spans="1:8" ht="29.25" customHeight="1" thickBot="1" x14ac:dyDescent="0.3">
      <c r="A379" s="22" t="s">
        <v>220</v>
      </c>
      <c r="B379" s="62"/>
      <c r="C379" s="24"/>
      <c r="D379" s="99"/>
      <c r="E379" s="99"/>
      <c r="F379" s="99"/>
      <c r="G379" s="140"/>
    </row>
    <row r="380" spans="1:8" ht="16.5" customHeight="1" thickBot="1" x14ac:dyDescent="0.3">
      <c r="A380" s="19" t="s">
        <v>221</v>
      </c>
      <c r="B380" s="66"/>
      <c r="C380" s="21">
        <v>0</v>
      </c>
      <c r="D380" s="135">
        <v>0</v>
      </c>
      <c r="E380" s="135">
        <v>0</v>
      </c>
      <c r="F380" s="135">
        <v>0</v>
      </c>
      <c r="G380" s="98">
        <f t="shared" si="5"/>
        <v>0</v>
      </c>
    </row>
    <row r="381" spans="1:8" ht="29.25" thickBot="1" x14ac:dyDescent="0.3">
      <c r="A381" s="22" t="s">
        <v>222</v>
      </c>
      <c r="B381" s="63"/>
      <c r="C381" s="86">
        <f>SUM(C380)</f>
        <v>0</v>
      </c>
      <c r="D381" s="100">
        <v>0</v>
      </c>
      <c r="E381" s="100">
        <f>SUM(E380)</f>
        <v>0</v>
      </c>
      <c r="F381" s="100">
        <v>0</v>
      </c>
      <c r="G381" s="139">
        <f t="shared" si="5"/>
        <v>0</v>
      </c>
    </row>
    <row r="382" spans="1:8" ht="9" customHeight="1" x14ac:dyDescent="0.25"/>
    <row r="383" spans="1:8" ht="11.25" customHeight="1" x14ac:dyDescent="0.25">
      <c r="A383" s="65"/>
      <c r="B383" s="65"/>
    </row>
    <row r="384" spans="1:8" hidden="1" x14ac:dyDescent="0.25">
      <c r="A384" s="65"/>
      <c r="B384" s="65"/>
    </row>
  </sheetData>
  <sheetProtection algorithmName="SHA-512" hashValue="N4d+hiiApDwRmguUC+MFyYbw0sz7SfQWFoRGaWUL1Um9b4aNR1ocNS+Ptjhvv29JWH2g6caqITzbum6LKH/T8A==" saltValue="GnY8AIPM2zChn+ORyjc9Pg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rozpočtu pro rok 2025 po 1. změně a po RO RM č. 1 - 53 
&amp;"-,Obyčejné"Zpracovala: Mgr. Andrea Oháňková, FO
&amp;RStrana &amp;P
celkem 19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2025 po 1.ZR a RORM 1 - 53</vt:lpstr>
      <vt:lpstr>'ZU 2025 po 1.ZR a RORM 1 - 53'!Názvy_tisku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2025-04-14T08:36:11Z</cp:lastPrinted>
  <dcterms:created xsi:type="dcterms:W3CDTF">2024-01-31T13:47:41Z</dcterms:created>
  <dcterms:modified xsi:type="dcterms:W3CDTF">2025-04-17T07:38:27Z</dcterms:modified>
</cp:coreProperties>
</file>